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5576" windowHeight="6912" activeTab="4"/>
  </bookViews>
  <sheets>
    <sheet name="Phụ lục số 1" sheetId="1" r:id="rId1"/>
    <sheet name="Phụ lục 2" sheetId="2" r:id="rId2"/>
    <sheet name="Phụ lục 3" sheetId="3" r:id="rId3"/>
    <sheet name="Phụ lục 4" sheetId="4" r:id="rId4"/>
    <sheet name="Phụ lục 5" sheetId="5" r:id="rId5"/>
  </sheets>
  <definedNames>
    <definedName name="chuong_pl_3" localSheetId="0">'Phụ lục số 1'!$B$2</definedName>
    <definedName name="chuong_pl_3_name" localSheetId="0">'Phụ lục số 1'!$A$4</definedName>
    <definedName name="_xlnm.Print_Titles" localSheetId="4">'Phụ lục 5'!$5:$6</definedName>
  </definedNames>
  <calcPr fullCalcOnLoad="1"/>
  <oleSize ref="A1:G35"/>
</workbook>
</file>

<file path=xl/sharedStrings.xml><?xml version="1.0" encoding="utf-8"?>
<sst xmlns="http://schemas.openxmlformats.org/spreadsheetml/2006/main" count="408" uniqueCount="168">
  <si>
    <t>Số TT</t>
  </si>
  <si>
    <t>I</t>
  </si>
  <si>
    <t>Ghi chú</t>
  </si>
  <si>
    <t>Số tiền</t>
  </si>
  <si>
    <t>BAN DÂN TỘC</t>
  </si>
  <si>
    <t>DiỄN GiẢI</t>
  </si>
  <si>
    <t>II</t>
  </si>
  <si>
    <t xml:space="preserve">DỰ THẢO KINH PHÍ </t>
  </si>
  <si>
    <t xml:space="preserve">Căn cứ </t>
  </si>
  <si>
    <t>1</t>
  </si>
  <si>
    <t>2</t>
  </si>
  <si>
    <t>3</t>
  </si>
  <si>
    <t>4</t>
  </si>
  <si>
    <t>5</t>
  </si>
  <si>
    <t>6</t>
  </si>
  <si>
    <t>7</t>
  </si>
  <si>
    <t>8</t>
  </si>
  <si>
    <t>Phụ cấp tiền ăn giảng viên, trợ giảng</t>
  </si>
  <si>
    <t>Chi thuê phòng nghỉ cho Giảng viên, trợ giảng</t>
  </si>
  <si>
    <t>Chi cho giảng viên, trợ giảng</t>
  </si>
  <si>
    <t>Chi cho Học viên</t>
  </si>
  <si>
    <t>Nước uống phục vụ lớp học</t>
  </si>
  <si>
    <t>Chi tổ chức cho học viên đi khảo sát thực tế</t>
  </si>
  <si>
    <t>Chi tiền thuốc y tế thông thường cho học viên</t>
  </si>
  <si>
    <t>Chi in ấn và cấp chứng chỉ</t>
  </si>
  <si>
    <t>Chi tiền phát hành thư mời, công văn triệu tập</t>
  </si>
  <si>
    <t>Chi thuê trong giữ xe, vệ sinh…</t>
  </si>
  <si>
    <t>Chi công tác quản lý lớp</t>
  </si>
  <si>
    <t>III</t>
  </si>
  <si>
    <t>ĐVT: đồng</t>
  </si>
  <si>
    <t>Đến trước 1 buổi đối với GV xa, và sau 1 buổi khi kết thúc lớp học để dự lễ bế giảng</t>
  </si>
  <si>
    <t>Chi phí đưa, đón giảng viên</t>
  </si>
  <si>
    <t>Đến trước 1 buổi đối với GV xa, và 1 buổi sau khi kết thúc lớp học để dự lễ bế giảng</t>
  </si>
  <si>
    <t>+Tiền vé máy bay (khứ hồi)</t>
  </si>
  <si>
    <t>Chi thực tế</t>
  </si>
  <si>
    <t>Căn cứ Thông tư 40/2017/TT-BTC ngày 28/4/2017 của Bộ Tài chính quy định chế độ công tác phí, chế độ chi hội nghị.</t>
  </si>
  <si>
    <t>Đến trước 1 buổi đối với HV xa, và 1 buổi sau khi kết thúc lớp học để dự lễ bế giảng</t>
  </si>
  <si>
    <t xml:space="preserve">Chi khen thưởng cho học viên đạt loại giỏi, loại xuất sắc </t>
  </si>
  <si>
    <t>Dự trù Số HV đạt loại giỏi, xuất sắt bằng 1/3 tổng số HV tham gia bồi dưỡng</t>
  </si>
  <si>
    <t>Tổng cộng</t>
  </si>
  <si>
    <t>Hỗ trợ một phần tiền ăn cho học viên trong thời gian học tập</t>
  </si>
  <si>
    <t>Chi đãi ăn buổi khai giảng và bế giảng</t>
  </si>
  <si>
    <t>Chi văn phòng phẩm và in ấn tài liệu</t>
  </si>
  <si>
    <t>Chi thuê phòng học, âm thanh,trang thiết bị phục vụ học tập</t>
  </si>
  <si>
    <t xml:space="preserve">Nội dung </t>
  </si>
  <si>
    <t xml:space="preserve">Chi tiền thuê phòng nghỉ cho các học viên ở xa  </t>
  </si>
  <si>
    <t>+ Tiền xe đưa đón Giảng viên, Trợ giảng từ sân bay đến nơi công tác và suốt trong quá trình công tác tại địa phương</t>
  </si>
  <si>
    <t xml:space="preserve"> theo Quyết định 771/QĐ-TTg của Thủ tướng Chính phủ giai đoạn 2019-2025</t>
  </si>
  <si>
    <t>TT</t>
  </si>
  <si>
    <t>Nhóm đối tượng</t>
  </si>
  <si>
    <t>Số lớp</t>
  </si>
  <si>
    <t>Kinh phí</t>
  </si>
  <si>
    <t>Đối tượng 1</t>
  </si>
  <si>
    <t>Đối tượng 2</t>
  </si>
  <si>
    <t>Đối tượng 3</t>
  </si>
  <si>
    <t>Đối tượng 4</t>
  </si>
  <si>
    <t>Chi phí hợp đồng giảng dạy trọn gói (ĐH Trà Vinh)</t>
  </si>
  <si>
    <t>Chi tổ chức cho học viên đi khảo sát thực tế tiếp xúc trực tiếp với ĐBDTTS tại địa phương</t>
  </si>
  <si>
    <t xml:space="preserve">Hỗ trợ một phần chi phí đi lại từ cơ quan đến nơi học tập cho các học viên ở xa </t>
  </si>
  <si>
    <t>Chi thuê phòng học, âm thanh, trang thiết bị phục vụ học tập</t>
  </si>
  <si>
    <t>Phụ lục 2</t>
  </si>
  <si>
    <t>Tổng số CBCCVC</t>
  </si>
  <si>
    <t>Giai đoạn 2021-2025</t>
  </si>
  <si>
    <t>Tổng số đến năm 2025</t>
  </si>
  <si>
    <t>Số người</t>
  </si>
  <si>
    <t>Đạt tỷ lệ%</t>
  </si>
  <si>
    <t>Số người</t>
  </si>
  <si>
    <t>Đạt tỷ lệ %</t>
  </si>
  <si>
    <t>BỒI DƯỠNG KIẾN THỨC DÂN TỘC</t>
  </si>
  <si>
    <t>Không tổng hợp</t>
  </si>
  <si>
    <t>Tổng I</t>
  </si>
  <si>
    <t>BỒI DƯỠNG TIẾNG DÂN TỘC THIỂU SỐ</t>
  </si>
  <si>
    <t>Tổng II</t>
  </si>
  <si>
    <t>Ghi chú: Cột "Đạt tỷ lệ % trong từng giai đoạn = Cột số người được cử bồi dưỡng trong từng giai đoạn/Cột tổng số CBCCVC của từng nhóm đối tượng"</t>
  </si>
  <si>
    <t>UBND TỈNH AN GIANG</t>
  </si>
  <si>
    <r>
      <t>Đạt tỷ lệ </t>
    </r>
    <r>
      <rPr>
        <b/>
        <sz val="14"/>
        <color indexed="8"/>
        <rFont val="Times New Roman"/>
        <family val="1"/>
      </rPr>
      <t>%</t>
    </r>
  </si>
  <si>
    <t>Giai đoạn 2019-2020</t>
  </si>
  <si>
    <t>Hỗ trợ cho hội đồng xét kết quả và Hội đồng ra đề thi, coi thi, Chấm thi (6 người)</t>
  </si>
  <si>
    <t>9</t>
  </si>
  <si>
    <t>Đối tượng 3 và 4</t>
  </si>
  <si>
    <t>1 lớp mỗi lớp 40 học viên</t>
  </si>
  <si>
    <t>30.000.000 đồng/lớp x 1 lớp/năm</t>
  </si>
  <si>
    <t>20.000 đồng/buổi/người x 180 buổi (90 ngày) x 40 người</t>
  </si>
  <si>
    <t>100.000 đồng/người x 40 người</t>
  </si>
  <si>
    <t>15.000.000 đồng/lớp x 1 lớp/năm</t>
  </si>
  <si>
    <t>8.000.000 đồng/lớp x 1 lớp/năm</t>
  </si>
  <si>
    <t>2.000.000 đồng/lớp x  1 lớp/năm</t>
  </si>
  <si>
    <t>Đính kèm dự toán chi tiết</t>
  </si>
  <si>
    <t>KẾ HOẠCH BỒI DƯỠNG KIẾN THỨC DÂN TỘC VÀ TIẾNG DÂN TỘC THIỂU SỐ GIAI ĐOẠN 2019-2025</t>
  </si>
  <si>
    <t>Tổ chức bồi dưỡng tiếng  dân tộc đối với cán bộ, công chức, viên chức hàng năm</t>
  </si>
  <si>
    <t>1,500,000 đồng/buổi x 2 buổi/ngày x 3 ngày/năm</t>
  </si>
  <si>
    <t>1,000,000 đồng/buổi x 2 buổi/ngày x 3 ngày/năm</t>
  </si>
  <si>
    <t>300.000 đồng/người/ngày x 4 ngày x 2 người</t>
  </si>
  <si>
    <t xml:space="preserve">1.000.000 đồng/người/năm x 6 người/lớp   </t>
  </si>
  <si>
    <t>8.000.000 đồng/người x 2 người</t>
  </si>
  <si>
    <t xml:space="preserve">4.000.000 đồng/lớp </t>
  </si>
  <si>
    <t xml:space="preserve">Hỗ trợ chi phí mua tài liệu học tập bắt buộc (của Ủy ban dân tộc biên soạn) </t>
  </si>
  <si>
    <t xml:space="preserve">10.000.000 đồng/chuyến/lớp </t>
  </si>
  <si>
    <t>Chi phí khác cho lớp học</t>
  </si>
  <si>
    <t>150.000 đồng/Học viên x 40 học viên</t>
  </si>
  <si>
    <t>200.000 đồng/Học viên x 15 học viên</t>
  </si>
  <si>
    <t>8.000.000 đồng/ngày/lớp x 3 ngày</t>
  </si>
  <si>
    <t>Bao gồm học viên; quản lý lớp, giảng viên</t>
  </si>
  <si>
    <t>20.000 đồng/buổi/người x 6 buổi (3 ngày) x 60 người</t>
  </si>
  <si>
    <t>500.000 đồng/người x 40 người</t>
  </si>
  <si>
    <t xml:space="preserve">8.000.000 đồng/lớp </t>
  </si>
  <si>
    <t>1.000.000 đồng/lớp</t>
  </si>
  <si>
    <t>IV</t>
  </si>
  <si>
    <t>Trích 10% từ kinh phí lớp học để chi cho kinh phí quản lý lớp</t>
  </si>
  <si>
    <t xml:space="preserve">Tổ chức bồi dưỡng kiến thức dân tộc đối với </t>
  </si>
  <si>
    <t xml:space="preserve"> cán bộ, công chức, viên chức hàng năm thuộc nhóm đối tượng 2</t>
  </si>
  <si>
    <t>1,500,000 đồng/buổi x 2 buổi/ngày x 5 ngày/năm</t>
  </si>
  <si>
    <t>1,000,000 đồng/buổi x 2 buổi/ngày x 5 ngày/năm</t>
  </si>
  <si>
    <t>300.000 đồng/người/ngày x 6 ngày x 2 người</t>
  </si>
  <si>
    <t>150.000 đồng/Học viên x 80 học viên</t>
  </si>
  <si>
    <t>200.000 đồng/Học viên x 30 học viên</t>
  </si>
  <si>
    <t>8.000.000 đồng/ngày/lớp x 5 ngày</t>
  </si>
  <si>
    <t>20.000 đồng/buổi/người x 10 buổi (5 ngày) x 100 người</t>
  </si>
  <si>
    <t>100.000 đồng/người x 80 người</t>
  </si>
  <si>
    <t>500.000 đồng/người x 80 người</t>
  </si>
  <si>
    <t xml:space="preserve"> cán bộ, công chức, viên chức hàng năm thuộc nhóm đối tượng 3</t>
  </si>
  <si>
    <t xml:space="preserve">Chi phí trả hợp đồng giảng dạy trọn gói với ĐH Trà Vinh </t>
  </si>
  <si>
    <t xml:space="preserve">Hỗ trợ chi phí đi lại từ cơ quan đến nơi học tập cho học viên  </t>
  </si>
  <si>
    <t>20.000 đồng/buổi/người x 10 buổi (5 ngày) x 60 người</t>
  </si>
  <si>
    <t>10.000.000 đồng/chuyến/lớp</t>
  </si>
  <si>
    <t>Chi khác cho lớp học</t>
  </si>
  <si>
    <t>150.000 đồng/học viên x 40 học viên</t>
  </si>
  <si>
    <t>Tổng I + II</t>
  </si>
  <si>
    <t>20.000 đồng/người/ngày x 90 ngày x 40 người</t>
  </si>
  <si>
    <t>Hỗ trợ chi phí mua tài liệu học tập bắt buộc (Ủy ban dân tộc cung cấp)</t>
  </si>
  <si>
    <t>40.000 đồng/người x 40 người</t>
  </si>
  <si>
    <t>9.000.000 đồng/buổi x 2 buổi</t>
  </si>
  <si>
    <t>20.000 đồng/người/ngày x 4 ngày x 25 người</t>
  </si>
  <si>
    <t>20.000 đồng/người/ngày x 3 ngày x 40 người</t>
  </si>
  <si>
    <t>20.000 đồng/người/ngày x 6 ngày x 40 người</t>
  </si>
  <si>
    <t>40.000 đồng/người x 80 người</t>
  </si>
  <si>
    <t>Chi tổ chức buổi khai giảng và bế giảng</t>
  </si>
  <si>
    <t>20.000 đồng/người/ngày x 5 ngày x 80 người</t>
  </si>
  <si>
    <t xml:space="preserve"> cán bộ, công chức, viên chức hàng năm thuộc nhóm đối tượng 4</t>
  </si>
  <si>
    <t>Dự trù kinh phí đào tạo của trường ĐH Trà Vinh</t>
  </si>
  <si>
    <t>Giai đoạn 2019-2020 thực hiện trong năm 2020 tổ chức 3 lớp                      Giai đoạn 2021-2025 thực hiện 5 năm, mỗi năm 3 lớp</t>
  </si>
  <si>
    <t>Giai đoạn 2019-2020 thực hiện trong năm 2020 tổ chức 1 lớp                       Giai đoạn 2021-2025 thực hiện 5 năm, mỗi năm 1 lớp</t>
  </si>
  <si>
    <t>10% x 576.400.000 đồng/lớp/năm</t>
  </si>
  <si>
    <t>DIỄN GIẢI</t>
  </si>
  <si>
    <t>10% x 155.800.000 đồng/lớp/năm</t>
  </si>
  <si>
    <t>10% x 239.400.000 đồng/lớp/năm</t>
  </si>
  <si>
    <t>10% x 231.400.000 đồng/lớp/năm</t>
  </si>
  <si>
    <t>Phụ cấp tiền ăn giảng viên</t>
  </si>
  <si>
    <t>150,000 đồng/ngày/người x 4 ngày x 1 người</t>
  </si>
  <si>
    <t>150,000 đồng/ngày/người x 6 ngày x 1 người</t>
  </si>
  <si>
    <t>Căn cứ điều 21,22,23 của Quyết định 01/2015/QĐ-UBND ngày 12/01/2015 của UBND tỉnh An Gaing ban hành chế độ trợ cấp đào tạo, bồi dưỡng cán bộ, công chức, viên chức tỉnh An Giang</t>
  </si>
  <si>
    <t>Chi thù lao giảng viên (bao gồm cả thù lao soạn giáo án bài giảng)</t>
  </si>
  <si>
    <t>Chi thù lao trợ giảng (bao gồm cả thù lao soạn giáo án bài giảng)</t>
  </si>
  <si>
    <t>Phụ lục 1</t>
  </si>
  <si>
    <t>Phụ lục 3</t>
  </si>
  <si>
    <t>Phụ lục 4</t>
  </si>
  <si>
    <t>Phụ lục 5</t>
  </si>
  <si>
    <t xml:space="preserve">Theo Điểm a Khoản 2 Điều 5 của Thông tư số 36/2018/TT-BTC; Một buổi 4 tiết học; mỗi lớp gồm 1 GV và 1 Trợ giảng;     Đối tượng 1 thực hiện đào tạo 3 ngày/năm                       </t>
  </si>
  <si>
    <t xml:space="preserve">Theo Điểm a, b Khoản 2 Điều 5 của Thông tư số 36/2018/TT-BTC; Một buổi 4 tiết học; mỗi lớp gồm 1 GV và 1 Trợ giảng;     Đối tượng 2 thực hiện đào tạo 5 ngày/năm                       </t>
  </si>
  <si>
    <t xml:space="preserve">Theo Điểm a, b Khoản 2 Điều 5 của Thông tư số 36/2018/TT-BTC; Một buổi 4 tiết học; mỗi lớp gồm 1 GV và 1 Trợ giảng;     Đối tượng 3 thực hiện đào tạo 5 ngày/năm                       </t>
  </si>
  <si>
    <t>Căn cứ Thông tư số 36/2018/TT-BTC ngày 30/3/2018 về hướng dẫn việc việc lập dự toán, quản lý, sử dụng và quyết toán kinh phí dành cho công tác đào tạo, bồi dưỡng cán bộ, công chức, viên chức; Chi theo thực tế</t>
  </si>
  <si>
    <t>Căn cứ Thông tư số 36/2018/TT-BTC ngày 30/3/2018 về hướng dẫn việc việc lập dự toán, quản lý, sử dụng và quyết toán kinh phí dành cho công tác đào tạo, bồi dưỡng cán bộ, công chức, viên chức</t>
  </si>
  <si>
    <t>Căn cứ Thông tư số 36/2018/TT-BTC ngày 30/3/2018 của Bộ Tài chính hướng dẫn việc việc lập dự toán, quản lý, sử dụng và quyết toán kinh phí dành cho công tác đào tạo, bồi dưỡng cán bộ, công chức, viên chức</t>
  </si>
  <si>
    <t xml:space="preserve"> Căn cứ Thông tư số 36/2018/TT-BTC ngày 30/3/2018 của Bộ Tài chính hướng dẫn việc việc lập dự toán, quản lý, sử dụng và quyết toán kinh phí dành cho công tác đào tạo, bồi dưỡng cán bộ, công chức, viên chức</t>
  </si>
  <si>
    <t>Căn cứ điều 21,22,23 của Quyết định 01/2015/QĐ-UBND ngày 12/01/2015 của UBND tỉnh An Giang ban hành chế độ trợ cấp đào tạo, bồi dưỡng cán bộ, công chức, viên chức tỉnh An Giang</t>
  </si>
  <si>
    <t xml:space="preserve">Căn cứ Thông tư số 36/2018/TT-BTC ngày 30/3/2018 về hướng dẫn việc việc lập dự toán, quản lý, sử dụng và quyết toán kinh phí dành cho công tác đào tạo, bồi dưỡng cán bộ, công chức, viên chức       </t>
  </si>
  <si>
    <t>Căn cứ theo Điểm a, b Khoản 2 Điều 5 của Thông tư số 36/2018/TT-BTC ngày 30/3/2018 của Bộ Tài chính hướng dẫn việc việc lập dự toán, quản lý, sử dụng và quyết toán kinh phí dành cho công tác đào tạo, bồi dưỡng cán bộ, công chức, viên chức</t>
  </si>
  <si>
    <t>(Kèm theo Kế hoạch số  473/KH-UBND ngày  05 tháng 8 năm 2019 của Ủy ban nhân dân tỉnh)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</si>
</sst>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quot;Yes&quot;;&quot;Yes&quot;;&quot;No&quot;"/>
    <numFmt numFmtId="181" formatCode="&quot;True&quot;;&quot;True&quot;;&quot;False&quot;"/>
    <numFmt numFmtId="182" formatCode="&quot;On&quot;;&quot;On&quot;;&quot;Off&quot;"/>
    <numFmt numFmtId="183" formatCode="[$€-2]\ #,##0.00_);[Red]\([$€-2]\ #,##0.00\)"/>
    <numFmt numFmtId="184" formatCode="_-* #,##0.0\ _đ_-;\-* #,##0.0\ _đ_-;_-* &quot;-&quot;??\ _đ_-;_-@_-"/>
    <numFmt numFmtId="185" formatCode="_-* #,##0\ _đ_-;\-* #,##0\ _đ_-;_-* &quot;-&quot;??\ _đ_-;_-@_-"/>
    <numFmt numFmtId="186" formatCode="0.000"/>
    <numFmt numFmtId="187" formatCode="0.0"/>
    <numFmt numFmtId="188" formatCode="_-* #,##0.000\ _đ_-;\-* #,##0.000\ _đ_-;_-* &quot;-&quot;??\ _đ_-;_-@_-"/>
    <numFmt numFmtId="189" formatCode="_-* #,##0.0000\ _đ_-;\-* #,##0.0000\ _đ_-;_-* &quot;-&quot;??\ _đ_-;_-@_-"/>
  </numFmts>
  <fonts count="36">
    <font>
      <sz val="13"/>
      <name val="Times New Roman"/>
      <family val="0"/>
    </font>
    <font>
      <sz val="8"/>
      <name val="Times New Roman"/>
      <family val="1"/>
    </font>
    <font>
      <b/>
      <sz val="13"/>
      <name val="Times New Roman"/>
      <family val="1"/>
    </font>
    <font>
      <b/>
      <sz val="14"/>
      <name val="Times New Roman"/>
      <family val="1"/>
    </font>
    <font>
      <sz val="14"/>
      <name val="Times New Roman"/>
      <family val="1"/>
    </font>
    <font>
      <i/>
      <sz val="13"/>
      <name val="Times New Roman"/>
      <family val="1"/>
    </font>
    <font>
      <b/>
      <sz val="18"/>
      <name val="Times New Roman"/>
      <family val="1"/>
    </font>
    <font>
      <b/>
      <sz val="16"/>
      <name val="Times New Roman"/>
      <family val="1"/>
    </font>
    <font>
      <b/>
      <sz val="14"/>
      <color indexed="8"/>
      <name val="Times New Roman"/>
      <family val="1"/>
    </font>
    <font>
      <u val="single"/>
      <sz val="13"/>
      <color indexed="12"/>
      <name val="Times New Roman"/>
      <family val="1"/>
    </font>
    <font>
      <u val="single"/>
      <sz val="13"/>
      <color indexed="36"/>
      <name val="Times New Roman"/>
      <family val="1"/>
    </font>
    <font>
      <sz val="15"/>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2"/>
      <color indexed="8"/>
      <name val="Times New Roman"/>
      <family val="1"/>
    </font>
    <font>
      <sz val="12"/>
      <color indexed="8"/>
      <name val="Times New Roman"/>
      <family val="1"/>
    </font>
    <font>
      <sz val="13"/>
      <color indexed="8"/>
      <name val="Times New Roman"/>
      <family val="1"/>
    </font>
    <font>
      <sz val="13"/>
      <color indexed="10"/>
      <name val="Times New Roman"/>
      <family val="1"/>
    </font>
    <font>
      <i/>
      <sz val="14"/>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04">
    <xf numFmtId="0" fontId="0" fillId="0" borderId="0" xfId="0" applyAlignment="1">
      <alignment/>
    </xf>
    <xf numFmtId="3" fontId="3" fillId="0" borderId="10" xfId="0" applyNumberFormat="1" applyFont="1" applyFill="1" applyBorder="1" applyAlignment="1">
      <alignment horizontal="center" vertical="center" wrapText="1"/>
    </xf>
    <xf numFmtId="185" fontId="3" fillId="0" borderId="11" xfId="42" applyNumberFormat="1" applyFont="1" applyBorder="1" applyAlignment="1">
      <alignment horizontal="center" vertical="center" wrapText="1"/>
    </xf>
    <xf numFmtId="0" fontId="0" fillId="0" borderId="10" xfId="0" applyBorder="1" applyAlignment="1">
      <alignment/>
    </xf>
    <xf numFmtId="0" fontId="0" fillId="0" borderId="0" xfId="0" applyAlignment="1">
      <alignment wrapText="1"/>
    </xf>
    <xf numFmtId="0" fontId="0" fillId="0" borderId="0" xfId="0" applyAlignment="1">
      <alignment horizontal="center" wrapText="1"/>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0" fillId="0" borderId="0" xfId="0" applyFont="1" applyAlignment="1">
      <alignment/>
    </xf>
    <xf numFmtId="0" fontId="0" fillId="0" borderId="10" xfId="0" applyFont="1" applyBorder="1" applyAlignment="1">
      <alignment wrapText="1"/>
    </xf>
    <xf numFmtId="0" fontId="3" fillId="0" borderId="11" xfId="0" applyFont="1" applyBorder="1" applyAlignment="1">
      <alignment wrapText="1"/>
    </xf>
    <xf numFmtId="0" fontId="0" fillId="0" borderId="10" xfId="0" applyBorder="1" applyAlignment="1">
      <alignment horizontal="center" wrapText="1"/>
    </xf>
    <xf numFmtId="185" fontId="0" fillId="0" borderId="0" xfId="42" applyNumberFormat="1" applyFont="1" applyAlignment="1">
      <alignment/>
    </xf>
    <xf numFmtId="185" fontId="3" fillId="0" borderId="10" xfId="42" applyNumberFormat="1" applyFont="1" applyFill="1" applyBorder="1" applyAlignment="1">
      <alignment horizontal="center" vertical="center" wrapText="1"/>
    </xf>
    <xf numFmtId="185" fontId="0" fillId="0" borderId="10" xfId="42" applyNumberFormat="1" applyFont="1" applyBorder="1" applyAlignment="1">
      <alignment/>
    </xf>
    <xf numFmtId="0" fontId="0" fillId="0" borderId="10" xfId="0" applyFont="1" applyBorder="1" applyAlignment="1">
      <alignment vertical="center" wrapText="1"/>
    </xf>
    <xf numFmtId="185" fontId="0" fillId="0" borderId="10" xfId="42" applyNumberFormat="1" applyFont="1"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0" xfId="0" applyFont="1" applyBorder="1" applyAlignment="1">
      <alignment horizontal="center" vertical="center" wrapText="1"/>
    </xf>
    <xf numFmtId="0" fontId="5" fillId="0" borderId="10" xfId="0" applyFont="1" applyBorder="1" applyAlignment="1" quotePrefix="1">
      <alignment wrapText="1"/>
    </xf>
    <xf numFmtId="0" fontId="5" fillId="0" borderId="10" xfId="0" applyFont="1" applyBorder="1" applyAlignment="1">
      <alignment horizontal="center" wrapText="1"/>
    </xf>
    <xf numFmtId="185" fontId="5" fillId="0" borderId="10" xfId="42" applyNumberFormat="1" applyFont="1" applyBorder="1" applyAlignment="1">
      <alignment/>
    </xf>
    <xf numFmtId="0" fontId="5" fillId="0" borderId="10" xfId="0" applyFont="1" applyBorder="1" applyAlignment="1">
      <alignment/>
    </xf>
    <xf numFmtId="0" fontId="5" fillId="0" borderId="0" xfId="0" applyFont="1" applyAlignment="1">
      <alignment/>
    </xf>
    <xf numFmtId="0" fontId="0" fillId="0" borderId="10" xfId="0" applyFont="1" applyBorder="1" applyAlignment="1" quotePrefix="1">
      <alignment horizontal="center" vertical="center" wrapText="1"/>
    </xf>
    <xf numFmtId="0" fontId="2" fillId="0" borderId="0" xfId="0" applyFont="1" applyAlignment="1">
      <alignment horizont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185" fontId="2" fillId="0" borderId="10" xfId="42" applyNumberFormat="1" applyFont="1" applyBorder="1" applyAlignment="1">
      <alignment vertical="center"/>
    </xf>
    <xf numFmtId="0" fontId="2" fillId="0" borderId="0" xfId="0" applyFont="1" applyAlignment="1">
      <alignment vertical="center"/>
    </xf>
    <xf numFmtId="0" fontId="0" fillId="0" borderId="10" xfId="0" applyFont="1" applyBorder="1" applyAlignment="1">
      <alignment vertical="center"/>
    </xf>
    <xf numFmtId="0" fontId="3" fillId="0" borderId="11" xfId="0" applyFont="1" applyBorder="1" applyAlignment="1">
      <alignment horizontal="center"/>
    </xf>
    <xf numFmtId="0" fontId="3" fillId="0" borderId="11" xfId="0" applyFont="1" applyBorder="1" applyAlignment="1">
      <alignment horizontal="center" wrapText="1"/>
    </xf>
    <xf numFmtId="0" fontId="0" fillId="0" borderId="10" xfId="0" applyFont="1" applyBorder="1" applyAlignment="1">
      <alignment horizontal="center" wrapText="1"/>
    </xf>
    <xf numFmtId="185" fontId="0" fillId="0" borderId="10" xfId="42" applyNumberFormat="1" applyFont="1" applyBorder="1" applyAlignment="1">
      <alignment/>
    </xf>
    <xf numFmtId="0" fontId="0" fillId="0" borderId="10" xfId="0" applyFont="1" applyBorder="1" applyAlignment="1">
      <alignment/>
    </xf>
    <xf numFmtId="0" fontId="0" fillId="0" borderId="0" xfId="0" applyFont="1" applyAlignment="1">
      <alignment horizontal="center" wrapText="1"/>
    </xf>
    <xf numFmtId="185" fontId="2" fillId="0" borderId="0" xfId="42" applyNumberFormat="1" applyFont="1" applyAlignment="1">
      <alignment horizontal="center"/>
    </xf>
    <xf numFmtId="185" fontId="0" fillId="0" borderId="0" xfId="42" applyNumberFormat="1" applyFont="1" applyAlignment="1">
      <alignment horizontal="center"/>
    </xf>
    <xf numFmtId="0" fontId="8" fillId="0" borderId="0" xfId="0" applyFont="1" applyAlignment="1">
      <alignment horizontal="center"/>
    </xf>
    <xf numFmtId="0" fontId="7" fillId="0" borderId="0" xfId="0" applyFont="1" applyAlignment="1">
      <alignment horizontal="center" wrapText="1"/>
    </xf>
    <xf numFmtId="0" fontId="0" fillId="0" borderId="0" xfId="0" applyBorder="1" applyAlignment="1">
      <alignment wrapText="1"/>
    </xf>
    <xf numFmtId="0" fontId="0" fillId="0" borderId="0" xfId="0" applyAlignment="1">
      <alignment horizontal="center"/>
    </xf>
    <xf numFmtId="0" fontId="0" fillId="0" borderId="10" xfId="0" applyBorder="1" applyAlignment="1" quotePrefix="1">
      <alignment horizontal="center" vertical="center"/>
    </xf>
    <xf numFmtId="0" fontId="0" fillId="0" borderId="10" xfId="0" applyFont="1" applyBorder="1" applyAlignment="1" quotePrefix="1">
      <alignment horizontal="center" vertical="center"/>
    </xf>
    <xf numFmtId="0" fontId="5" fillId="0" borderId="10" xfId="0" applyFont="1" applyBorder="1" applyAlignment="1" quotePrefix="1">
      <alignment horizontal="center"/>
    </xf>
    <xf numFmtId="0" fontId="2" fillId="0" borderId="10" xfId="0" applyFont="1" applyBorder="1" applyAlignment="1">
      <alignment horizontal="center" vertical="center"/>
    </xf>
    <xf numFmtId="0" fontId="4" fillId="0" borderId="0" xfId="0" applyFont="1" applyAlignment="1">
      <alignment/>
    </xf>
    <xf numFmtId="0" fontId="0" fillId="0" borderId="12" xfId="0" applyFont="1" applyBorder="1" applyAlignment="1">
      <alignment horizontal="center" vertical="center" wrapText="1"/>
    </xf>
    <xf numFmtId="185" fontId="0" fillId="0" borderId="0" xfId="42" applyNumberFormat="1" applyFont="1" applyAlignment="1">
      <alignment/>
    </xf>
    <xf numFmtId="185" fontId="0" fillId="0" borderId="10" xfId="42" applyNumberFormat="1" applyFont="1" applyBorder="1" applyAlignment="1">
      <alignment vertical="center"/>
    </xf>
    <xf numFmtId="0" fontId="3" fillId="0" borderId="11" xfId="0" applyFont="1" applyBorder="1" applyAlignment="1">
      <alignment/>
    </xf>
    <xf numFmtId="3" fontId="3" fillId="0" borderId="10" xfId="0" applyNumberFormat="1" applyFont="1" applyFill="1" applyBorder="1" applyAlignment="1">
      <alignment vertical="center" wrapText="1"/>
    </xf>
    <xf numFmtId="185" fontId="3" fillId="0" borderId="10" xfId="42" applyNumberFormat="1" applyFont="1" applyFill="1" applyBorder="1" applyAlignment="1">
      <alignment vertical="center" wrapText="1"/>
    </xf>
    <xf numFmtId="185" fontId="3" fillId="0" borderId="11" xfId="42" applyNumberFormat="1" applyFont="1" applyBorder="1" applyAlignment="1">
      <alignment vertical="center" wrapText="1"/>
    </xf>
    <xf numFmtId="0" fontId="8" fillId="0" borderId="0" xfId="0" applyFont="1" applyAlignment="1">
      <alignment/>
    </xf>
    <xf numFmtId="0" fontId="3" fillId="0" borderId="0" xfId="0" applyFont="1" applyAlignment="1">
      <alignment/>
    </xf>
    <xf numFmtId="0" fontId="30" fillId="0" borderId="0" xfId="0" applyFont="1" applyAlignment="1">
      <alignment horizontal="center"/>
    </xf>
    <xf numFmtId="0" fontId="8" fillId="24" borderId="13" xfId="0" applyFont="1" applyFill="1" applyBorder="1" applyAlignment="1">
      <alignment horizontal="center" wrapText="1"/>
    </xf>
    <xf numFmtId="0" fontId="8" fillId="24" borderId="14" xfId="0" applyFont="1" applyFill="1" applyBorder="1" applyAlignment="1">
      <alignment vertical="top" wrapText="1"/>
    </xf>
    <xf numFmtId="0" fontId="30" fillId="24" borderId="13" xfId="0" applyFont="1" applyFill="1" applyBorder="1" applyAlignment="1">
      <alignment horizontal="center" wrapText="1"/>
    </xf>
    <xf numFmtId="0" fontId="30" fillId="24" borderId="14" xfId="0" applyFont="1" applyFill="1" applyBorder="1" applyAlignment="1">
      <alignment wrapText="1"/>
    </xf>
    <xf numFmtId="0" fontId="30" fillId="24" borderId="14" xfId="0" applyFont="1" applyFill="1" applyBorder="1" applyAlignment="1">
      <alignment vertical="top" wrapText="1"/>
    </xf>
    <xf numFmtId="0" fontId="30" fillId="0" borderId="0" xfId="0" applyFont="1" applyAlignment="1">
      <alignment/>
    </xf>
    <xf numFmtId="0" fontId="8" fillId="24" borderId="0" xfId="0" applyFont="1" applyFill="1" applyAlignment="1">
      <alignment horizontal="center" vertical="top" wrapText="1"/>
    </xf>
    <xf numFmtId="0" fontId="8" fillId="0" borderId="0" xfId="0" applyFont="1" applyAlignment="1">
      <alignment/>
    </xf>
    <xf numFmtId="0" fontId="4" fillId="0" borderId="0" xfId="0" applyFont="1" applyAlignment="1">
      <alignment vertical="center"/>
    </xf>
    <xf numFmtId="0" fontId="30" fillId="24" borderId="14"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4" fillId="0" borderId="0" xfId="0" applyFont="1" applyAlignment="1">
      <alignment horizontal="center" vertical="center"/>
    </xf>
    <xf numFmtId="0" fontId="8" fillId="24" borderId="14" xfId="0" applyFont="1" applyFill="1" applyBorder="1" applyAlignment="1">
      <alignment vertical="center" wrapText="1"/>
    </xf>
    <xf numFmtId="0" fontId="3" fillId="0" borderId="0" xfId="0" applyFont="1" applyAlignment="1">
      <alignment vertical="center"/>
    </xf>
    <xf numFmtId="0" fontId="8" fillId="24" borderId="13" xfId="0" applyFont="1" applyFill="1" applyBorder="1" applyAlignment="1">
      <alignment vertical="center" wrapText="1"/>
    </xf>
    <xf numFmtId="0" fontId="4" fillId="0" borderId="11" xfId="0" applyFont="1" applyBorder="1" applyAlignment="1" quotePrefix="1">
      <alignment horizontal="center"/>
    </xf>
    <xf numFmtId="185" fontId="0" fillId="0" borderId="10" xfId="42" applyNumberFormat="1" applyFont="1" applyBorder="1" applyAlignment="1">
      <alignment vertical="center"/>
    </xf>
    <xf numFmtId="0" fontId="0" fillId="0" borderId="0" xfId="0" applyFont="1" applyBorder="1" applyAlignment="1" quotePrefix="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185" fontId="0" fillId="0" borderId="0" xfId="42" applyNumberFormat="1"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Alignment="1">
      <alignment vertical="center"/>
    </xf>
    <xf numFmtId="185" fontId="8" fillId="24" borderId="14" xfId="42" applyNumberFormat="1" applyFont="1" applyFill="1" applyBorder="1" applyAlignment="1">
      <alignment vertical="center" wrapText="1"/>
    </xf>
    <xf numFmtId="185" fontId="31" fillId="24" borderId="14" xfId="42" applyNumberFormat="1" applyFont="1" applyFill="1" applyBorder="1" applyAlignment="1">
      <alignment vertical="center" wrapText="1"/>
    </xf>
    <xf numFmtId="185" fontId="32" fillId="24" borderId="14" xfId="42" applyNumberFormat="1" applyFont="1" applyFill="1" applyBorder="1" applyAlignment="1">
      <alignment vertical="top" wrapText="1"/>
    </xf>
    <xf numFmtId="185" fontId="30" fillId="24" borderId="14" xfId="0" applyNumberFormat="1" applyFont="1" applyFill="1" applyBorder="1" applyAlignment="1">
      <alignment vertical="top" wrapText="1"/>
    </xf>
    <xf numFmtId="185" fontId="8" fillId="24" borderId="14" xfId="0" applyNumberFormat="1" applyFont="1" applyFill="1" applyBorder="1" applyAlignment="1">
      <alignment vertical="center" wrapText="1"/>
    </xf>
    <xf numFmtId="185" fontId="32" fillId="24" borderId="14" xfId="42" applyNumberFormat="1"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9" fontId="0" fillId="0" borderId="10" xfId="0" applyNumberFormat="1" applyFont="1" applyBorder="1" applyAlignment="1">
      <alignment horizontal="center" vertical="center" wrapText="1"/>
    </xf>
    <xf numFmtId="0" fontId="11" fillId="0" borderId="0" xfId="0" applyFont="1" applyAlignment="1">
      <alignment horizontal="center" wrapText="1"/>
    </xf>
    <xf numFmtId="0" fontId="0" fillId="0" borderId="10" xfId="0" applyBorder="1" applyAlignment="1">
      <alignment horizontal="center" vertical="center"/>
    </xf>
    <xf numFmtId="185" fontId="0" fillId="0" borderId="10" xfId="0" applyNumberFormat="1" applyBorder="1" applyAlignment="1">
      <alignment/>
    </xf>
    <xf numFmtId="185" fontId="2" fillId="0" borderId="10" xfId="0" applyNumberFormat="1" applyFont="1" applyBorder="1" applyAlignment="1">
      <alignment vertical="center"/>
    </xf>
    <xf numFmtId="0" fontId="31" fillId="24" borderId="13" xfId="0" applyFont="1" applyFill="1" applyBorder="1" applyAlignment="1">
      <alignment horizontal="center" vertical="center" wrapText="1"/>
    </xf>
    <xf numFmtId="0" fontId="31" fillId="24" borderId="14" xfId="0" applyFont="1" applyFill="1" applyBorder="1" applyAlignment="1">
      <alignment vertical="center" wrapText="1"/>
    </xf>
    <xf numFmtId="0" fontId="12" fillId="0" borderId="0" xfId="0" applyFont="1" applyAlignment="1">
      <alignment vertical="center"/>
    </xf>
    <xf numFmtId="185" fontId="4" fillId="0" borderId="0" xfId="0" applyNumberFormat="1" applyFont="1" applyAlignment="1">
      <alignment/>
    </xf>
    <xf numFmtId="0" fontId="33" fillId="24" borderId="13" xfId="0" applyFont="1" applyFill="1" applyBorder="1" applyAlignment="1">
      <alignment horizontal="center" vertical="center" wrapText="1"/>
    </xf>
    <xf numFmtId="0" fontId="33" fillId="24" borderId="14" xfId="0" applyFont="1" applyFill="1" applyBorder="1" applyAlignment="1">
      <alignment vertical="center" wrapText="1"/>
    </xf>
    <xf numFmtId="0" fontId="33" fillId="24" borderId="14" xfId="0" applyFont="1" applyFill="1" applyBorder="1" applyAlignment="1">
      <alignment horizontal="center" vertical="center" wrapText="1"/>
    </xf>
    <xf numFmtId="0" fontId="34" fillId="0" borderId="10" xfId="0" applyFont="1" applyBorder="1" applyAlignment="1">
      <alignment vertical="center" wrapText="1"/>
    </xf>
    <xf numFmtId="185" fontId="34" fillId="0" borderId="10" xfId="42" applyNumberFormat="1" applyFont="1" applyBorder="1" applyAlignment="1">
      <alignment vertical="center"/>
    </xf>
    <xf numFmtId="0" fontId="34" fillId="0" borderId="0" xfId="0" applyFont="1" applyAlignment="1">
      <alignment vertical="center"/>
    </xf>
    <xf numFmtId="0" fontId="34" fillId="0" borderId="10" xfId="0" applyFont="1" applyBorder="1" applyAlignment="1" quotePrefix="1">
      <alignment horizontal="center" vertical="center"/>
    </xf>
    <xf numFmtId="0" fontId="34" fillId="0" borderId="10" xfId="0" applyFont="1" applyBorder="1" applyAlignment="1" quotePrefix="1">
      <alignment horizontal="center" vertical="center" wrapText="1"/>
    </xf>
    <xf numFmtId="0" fontId="34" fillId="0" borderId="10" xfId="0" applyFont="1" applyBorder="1" applyAlignment="1">
      <alignment vertical="center"/>
    </xf>
    <xf numFmtId="0" fontId="34" fillId="0" borderId="12" xfId="0" applyFont="1" applyBorder="1" applyAlignment="1">
      <alignment vertical="center" wrapText="1"/>
    </xf>
    <xf numFmtId="0" fontId="30" fillId="24" borderId="13" xfId="0" applyFont="1" applyFill="1" applyBorder="1" applyAlignment="1">
      <alignment horizontal="center" vertical="center" wrapText="1"/>
    </xf>
    <xf numFmtId="0" fontId="30" fillId="24" borderId="14" xfId="0" applyFont="1" applyFill="1" applyBorder="1" applyAlignment="1">
      <alignment vertical="center" wrapText="1"/>
    </xf>
    <xf numFmtId="185" fontId="30" fillId="24" borderId="14" xfId="0" applyNumberFormat="1" applyFont="1" applyFill="1" applyBorder="1" applyAlignment="1">
      <alignment vertical="center" wrapText="1"/>
    </xf>
    <xf numFmtId="185" fontId="32" fillId="24" borderId="14" xfId="42" applyNumberFormat="1" applyFont="1" applyFill="1" applyBorder="1" applyAlignment="1">
      <alignment vertical="center" wrapText="1"/>
    </xf>
    <xf numFmtId="185" fontId="34" fillId="0" borderId="10" xfId="0" applyNumberFormat="1" applyFont="1" applyBorder="1" applyAlignment="1">
      <alignment vertical="center"/>
    </xf>
    <xf numFmtId="185" fontId="34" fillId="0" borderId="10" xfId="0" applyNumberFormat="1" applyFont="1" applyBorder="1" applyAlignment="1">
      <alignment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xf>
    <xf numFmtId="0" fontId="4" fillId="0" borderId="11" xfId="0" applyFont="1" applyBorder="1" applyAlignment="1">
      <alignment wrapText="1"/>
    </xf>
    <xf numFmtId="3" fontId="3" fillId="0" borderId="1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185" fontId="3" fillId="0" borderId="12" xfId="42" applyNumberFormat="1" applyFont="1" applyBorder="1" applyAlignment="1">
      <alignment horizontal="center" vertical="center" wrapText="1"/>
    </xf>
    <xf numFmtId="0" fontId="11" fillId="0" borderId="18" xfId="0" applyFont="1" applyBorder="1" applyAlignment="1">
      <alignment horizontal="center" wrapText="1"/>
    </xf>
    <xf numFmtId="0" fontId="0" fillId="0" borderId="12" xfId="0" applyBorder="1" applyAlignment="1">
      <alignment horizontal="center" vertical="center"/>
    </xf>
    <xf numFmtId="0" fontId="34" fillId="0" borderId="10" xfId="0" applyFont="1" applyBorder="1" applyAlignment="1">
      <alignment horizontal="center" vertical="center" wrapText="1"/>
    </xf>
    <xf numFmtId="0" fontId="4" fillId="0" borderId="0" xfId="0" applyFont="1" applyAlignment="1">
      <alignment horizontal="center"/>
    </xf>
    <xf numFmtId="0" fontId="6" fillId="0" borderId="0" xfId="0" applyFont="1" applyBorder="1" applyAlignment="1">
      <alignment wrapText="1"/>
    </xf>
    <xf numFmtId="0" fontId="0" fillId="0" borderId="0" xfId="0" applyFont="1" applyAlignment="1">
      <alignment horizontal="center"/>
    </xf>
    <xf numFmtId="0" fontId="4" fillId="0" borderId="0" xfId="0" applyFont="1" applyAlignment="1">
      <alignment horizontal="center" wrapText="1"/>
    </xf>
    <xf numFmtId="0" fontId="4" fillId="0" borderId="11" xfId="0" applyFont="1" applyBorder="1" applyAlignment="1" quotePrefix="1">
      <alignment horizontal="center" vertical="center"/>
    </xf>
    <xf numFmtId="0" fontId="3" fillId="0" borderId="11" xfId="0" applyFont="1" applyBorder="1" applyAlignment="1">
      <alignment horizontal="center" vertical="center" wrapText="1"/>
    </xf>
    <xf numFmtId="0" fontId="4" fillId="24" borderId="14" xfId="0" applyFont="1" applyFill="1" applyBorder="1" applyAlignment="1">
      <alignment horizontal="center" wrapText="1"/>
    </xf>
    <xf numFmtId="185" fontId="4" fillId="24" borderId="14" xfId="42" applyNumberFormat="1" applyFont="1" applyFill="1" applyBorder="1" applyAlignment="1">
      <alignment horizontal="left" vertical="center" wrapText="1"/>
    </xf>
    <xf numFmtId="0" fontId="3" fillId="24" borderId="14" xfId="0" applyFont="1" applyFill="1" applyBorder="1" applyAlignment="1">
      <alignment horizontal="center" wrapText="1"/>
    </xf>
    <xf numFmtId="0" fontId="4" fillId="24" borderId="14" xfId="0" applyFont="1" applyFill="1" applyBorder="1" applyAlignment="1">
      <alignment horizontal="center" vertical="center" wrapText="1"/>
    </xf>
    <xf numFmtId="0" fontId="12" fillId="24" borderId="14" xfId="0" applyFont="1" applyFill="1" applyBorder="1" applyAlignment="1">
      <alignment horizontal="center" wrapText="1"/>
    </xf>
    <xf numFmtId="0" fontId="0" fillId="24" borderId="14"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0" fillId="0" borderId="11" xfId="0" applyBorder="1" applyAlignment="1">
      <alignment horizontal="center" vertical="center"/>
    </xf>
    <xf numFmtId="0" fontId="0" fillId="0" borderId="12" xfId="0" applyFont="1" applyBorder="1" applyAlignment="1">
      <alignment horizontal="center" vertical="top" wrapText="1"/>
    </xf>
    <xf numFmtId="0" fontId="0" fillId="0" borderId="15" xfId="0" applyFont="1" applyBorder="1" applyAlignment="1">
      <alignment horizontal="center" vertical="top"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5" xfId="0" applyFont="1" applyBorder="1" applyAlignment="1">
      <alignment horizontal="center" vertical="center" wrapText="1"/>
    </xf>
    <xf numFmtId="0" fontId="30" fillId="24" borderId="19"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4" fillId="0" borderId="0" xfId="0" applyFont="1" applyAlignment="1">
      <alignment horizontal="center"/>
    </xf>
    <xf numFmtId="0" fontId="30" fillId="24" borderId="21" xfId="0" applyFont="1" applyFill="1" applyBorder="1" applyAlignment="1">
      <alignment horizontal="left" vertical="center" wrapText="1"/>
    </xf>
    <xf numFmtId="0" fontId="30" fillId="24" borderId="22" xfId="0" applyFont="1" applyFill="1" applyBorder="1" applyAlignment="1">
      <alignment horizontal="left" vertical="center" wrapText="1"/>
    </xf>
    <xf numFmtId="0" fontId="30" fillId="24" borderId="13" xfId="0" applyFont="1" applyFill="1" applyBorder="1" applyAlignment="1">
      <alignment horizontal="left" vertical="center" wrapText="1"/>
    </xf>
    <xf numFmtId="0" fontId="4"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xf>
    <xf numFmtId="0" fontId="30" fillId="24" borderId="21" xfId="0" applyFont="1" applyFill="1" applyBorder="1" applyAlignment="1">
      <alignment wrapText="1"/>
    </xf>
    <xf numFmtId="0" fontId="30" fillId="24" borderId="22" xfId="0" applyFont="1" applyFill="1" applyBorder="1" applyAlignment="1">
      <alignment wrapText="1"/>
    </xf>
    <xf numFmtId="0" fontId="30" fillId="24" borderId="13" xfId="0" applyFont="1" applyFill="1" applyBorder="1" applyAlignment="1">
      <alignment wrapText="1"/>
    </xf>
    <xf numFmtId="0" fontId="8" fillId="24" borderId="23" xfId="0" applyFont="1" applyFill="1" applyBorder="1" applyAlignment="1">
      <alignment horizontal="left" vertical="center" wrapText="1"/>
    </xf>
    <xf numFmtId="0" fontId="8" fillId="24" borderId="19" xfId="0" applyFont="1" applyFill="1" applyBorder="1" applyAlignment="1">
      <alignment horizontal="left" vertical="center" wrapText="1"/>
    </xf>
    <xf numFmtId="0" fontId="8" fillId="24" borderId="20" xfId="0" applyFont="1" applyFill="1" applyBorder="1" applyAlignment="1">
      <alignment horizontal="left" vertical="center" wrapText="1"/>
    </xf>
    <xf numFmtId="0" fontId="8" fillId="24" borderId="23" xfId="0" applyFont="1" applyFill="1" applyBorder="1" applyAlignment="1">
      <alignment horizontal="left" wrapText="1"/>
    </xf>
    <xf numFmtId="0" fontId="8" fillId="24" borderId="19" xfId="0" applyFont="1" applyFill="1" applyBorder="1" applyAlignment="1">
      <alignment horizontal="left" wrapText="1"/>
    </xf>
    <xf numFmtId="0" fontId="8" fillId="24" borderId="20" xfId="0" applyFont="1" applyFill="1" applyBorder="1" applyAlignment="1">
      <alignment horizontal="left" wrapText="1"/>
    </xf>
    <xf numFmtId="0" fontId="30" fillId="24" borderId="2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8" fillId="24" borderId="0" xfId="0" applyFont="1" applyFill="1" applyAlignment="1">
      <alignment horizontal="center" vertical="top" wrapText="1"/>
    </xf>
    <xf numFmtId="0" fontId="8" fillId="0" borderId="0" xfId="0" applyFont="1" applyAlignment="1">
      <alignment horizontal="center" vertical="center"/>
    </xf>
    <xf numFmtId="0" fontId="35" fillId="24" borderId="24" xfId="0" applyFont="1" applyFill="1" applyBorder="1" applyAlignment="1">
      <alignment horizontal="center"/>
    </xf>
    <xf numFmtId="0" fontId="30" fillId="24" borderId="24" xfId="0" applyFont="1" applyFill="1" applyBorder="1" applyAlignment="1">
      <alignment horizontal="center"/>
    </xf>
    <xf numFmtId="0" fontId="8" fillId="24" borderId="21"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4" fillId="24" borderId="21" xfId="0" applyFont="1" applyFill="1" applyBorder="1" applyAlignment="1">
      <alignment horizontal="center" wrapText="1"/>
    </xf>
    <xf numFmtId="0" fontId="4" fillId="24" borderId="13" xfId="0" applyFont="1" applyFill="1" applyBorder="1" applyAlignment="1">
      <alignment horizontal="center" wrapText="1"/>
    </xf>
    <xf numFmtId="0" fontId="30" fillId="24" borderId="23" xfId="0" applyFont="1" applyFill="1" applyBorder="1" applyAlignment="1">
      <alignment horizontal="center" vertical="center" wrapText="1"/>
    </xf>
    <xf numFmtId="0" fontId="34"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185" fontId="3" fillId="0" borderId="12" xfId="42" applyNumberFormat="1" applyFont="1" applyBorder="1" applyAlignment="1">
      <alignment horizontal="center" vertical="center" wrapText="1"/>
    </xf>
    <xf numFmtId="185" fontId="3" fillId="0" borderId="11" xfId="42"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25"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185" fontId="3" fillId="0" borderId="10" xfId="42"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4" fillId="0" borderId="11" xfId="0" applyFont="1" applyBorder="1" applyAlignment="1">
      <alignment horizontal="center"/>
    </xf>
    <xf numFmtId="0" fontId="4" fillId="0" borderId="11" xfId="0" applyFont="1" applyBorder="1" applyAlignment="1">
      <alignment wrapText="1"/>
    </xf>
    <xf numFmtId="3" fontId="3" fillId="0" borderId="1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25"/>
  <sheetViews>
    <sheetView workbookViewId="0" topLeftCell="A1">
      <selection activeCell="A5" sqref="A5:P5"/>
    </sheetView>
  </sheetViews>
  <sheetFormatPr defaultColWidth="8.88671875" defaultRowHeight="16.5"/>
  <cols>
    <col min="1" max="1" width="6.6640625" style="50" customWidth="1"/>
    <col min="2" max="2" width="10.99609375" style="50" customWidth="1"/>
    <col min="3" max="3" width="10.88671875" style="128" customWidth="1"/>
    <col min="4" max="4" width="6.6640625" style="50" customWidth="1"/>
    <col min="5" max="6" width="7.4453125" style="50" customWidth="1"/>
    <col min="7" max="7" width="14.77734375" style="50" customWidth="1"/>
    <col min="8" max="8" width="8.88671875" style="50" customWidth="1"/>
    <col min="9" max="9" width="7.10546875" style="50" customWidth="1"/>
    <col min="10" max="10" width="6.3359375" style="50" customWidth="1"/>
    <col min="11" max="11" width="15.5546875" style="50" customWidth="1"/>
    <col min="12" max="12" width="8.77734375" style="50" customWidth="1"/>
    <col min="13" max="14" width="6.3359375" style="50" customWidth="1"/>
    <col min="15" max="15" width="18.99609375" style="50" bestFit="1" customWidth="1"/>
    <col min="16" max="16" width="20.4453125" style="50" customWidth="1"/>
    <col min="17" max="16384" width="8.88671875" style="50" customWidth="1"/>
  </cols>
  <sheetData>
    <row r="1" ht="18">
      <c r="A1" s="60"/>
    </row>
    <row r="2" spans="1:16" ht="22.5" customHeight="1">
      <c r="A2" s="161" t="s">
        <v>74</v>
      </c>
      <c r="B2" s="161"/>
      <c r="C2" s="161"/>
      <c r="O2" s="50" t="s">
        <v>153</v>
      </c>
      <c r="P2" s="50"/>
    </row>
    <row r="3" spans="1:3" ht="27.75" customHeight="1">
      <c r="A3" s="162"/>
      <c r="B3" s="162"/>
      <c r="C3" s="162"/>
    </row>
    <row r="4" spans="1:16" ht="27.75" customHeight="1">
      <c r="A4" s="176" t="s">
        <v>88</v>
      </c>
      <c r="B4" s="176"/>
      <c r="C4" s="176"/>
      <c r="D4" s="176"/>
      <c r="E4" s="176"/>
      <c r="F4" s="176"/>
      <c r="G4" s="176"/>
      <c r="H4" s="176"/>
      <c r="I4" s="176"/>
      <c r="J4" s="176"/>
      <c r="K4" s="176"/>
      <c r="L4" s="176"/>
      <c r="M4" s="176"/>
      <c r="N4" s="176"/>
      <c r="O4" s="176"/>
      <c r="P4" s="176"/>
    </row>
    <row r="5" spans="1:16" ht="27" customHeight="1" thickBot="1">
      <c r="A5" s="177" t="s">
        <v>167</v>
      </c>
      <c r="B5" s="178"/>
      <c r="C5" s="178"/>
      <c r="D5" s="178"/>
      <c r="E5" s="178"/>
      <c r="F5" s="178"/>
      <c r="G5" s="178"/>
      <c r="H5" s="178"/>
      <c r="I5" s="178"/>
      <c r="J5" s="178"/>
      <c r="K5" s="178"/>
      <c r="L5" s="178"/>
      <c r="M5" s="178"/>
      <c r="N5" s="178"/>
      <c r="O5" s="178"/>
      <c r="P5" s="178"/>
    </row>
    <row r="6" spans="1:16" s="69" customFormat="1" ht="35.25" customHeight="1" thickBot="1">
      <c r="A6" s="179" t="s">
        <v>48</v>
      </c>
      <c r="B6" s="173" t="s">
        <v>49</v>
      </c>
      <c r="C6" s="181" t="s">
        <v>61</v>
      </c>
      <c r="D6" s="183" t="s">
        <v>76</v>
      </c>
      <c r="E6" s="151"/>
      <c r="F6" s="151"/>
      <c r="G6" s="152"/>
      <c r="H6" s="183" t="s">
        <v>62</v>
      </c>
      <c r="I6" s="151"/>
      <c r="J6" s="151"/>
      <c r="K6" s="152"/>
      <c r="L6" s="183" t="s">
        <v>63</v>
      </c>
      <c r="M6" s="151"/>
      <c r="N6" s="151"/>
      <c r="O6" s="152"/>
      <c r="P6" s="173" t="s">
        <v>2</v>
      </c>
    </row>
    <row r="7" spans="1:16" s="69" customFormat="1" ht="58.5" customHeight="1" thickBot="1">
      <c r="A7" s="180"/>
      <c r="B7" s="174"/>
      <c r="C7" s="182"/>
      <c r="D7" s="70" t="s">
        <v>64</v>
      </c>
      <c r="E7" s="70" t="s">
        <v>50</v>
      </c>
      <c r="F7" s="70" t="s">
        <v>65</v>
      </c>
      <c r="G7" s="70" t="s">
        <v>51</v>
      </c>
      <c r="H7" s="70" t="s">
        <v>66</v>
      </c>
      <c r="I7" s="70" t="s">
        <v>50</v>
      </c>
      <c r="J7" s="70" t="s">
        <v>67</v>
      </c>
      <c r="K7" s="70" t="s">
        <v>51</v>
      </c>
      <c r="L7" s="70" t="s">
        <v>66</v>
      </c>
      <c r="M7" s="70" t="s">
        <v>50</v>
      </c>
      <c r="N7" s="70" t="s">
        <v>75</v>
      </c>
      <c r="O7" s="70" t="s">
        <v>51</v>
      </c>
      <c r="P7" s="174"/>
    </row>
    <row r="8" spans="1:16" s="59" customFormat="1" ht="25.5" customHeight="1" thickBot="1">
      <c r="A8" s="61" t="s">
        <v>1</v>
      </c>
      <c r="B8" s="170" t="s">
        <v>68</v>
      </c>
      <c r="C8" s="171"/>
      <c r="D8" s="171"/>
      <c r="E8" s="171"/>
      <c r="F8" s="171"/>
      <c r="G8" s="171"/>
      <c r="H8" s="171"/>
      <c r="I8" s="171"/>
      <c r="J8" s="171"/>
      <c r="K8" s="171"/>
      <c r="L8" s="171"/>
      <c r="M8" s="171"/>
      <c r="N8" s="171"/>
      <c r="O8" s="172"/>
      <c r="P8" s="62"/>
    </row>
    <row r="9" spans="1:16" s="84" customFormat="1" ht="58.5" customHeight="1" thickBot="1">
      <c r="A9" s="103">
        <v>1</v>
      </c>
      <c r="B9" s="104" t="s">
        <v>52</v>
      </c>
      <c r="C9" s="139">
        <v>19</v>
      </c>
      <c r="D9" s="104">
        <v>9</v>
      </c>
      <c r="E9" s="105" t="s">
        <v>69</v>
      </c>
      <c r="F9" s="105"/>
      <c r="G9" s="105"/>
      <c r="H9" s="105">
        <v>10</v>
      </c>
      <c r="I9" s="105" t="s">
        <v>69</v>
      </c>
      <c r="J9" s="105"/>
      <c r="K9" s="105"/>
      <c r="L9" s="105">
        <f>+H9+D9</f>
        <v>19</v>
      </c>
      <c r="M9" s="105" t="s">
        <v>69</v>
      </c>
      <c r="N9" s="104"/>
      <c r="O9" s="104"/>
      <c r="P9" s="164" t="s">
        <v>140</v>
      </c>
    </row>
    <row r="10" spans="1:16" ht="44.25" customHeight="1" thickBot="1">
      <c r="A10" s="63">
        <v>2</v>
      </c>
      <c r="B10" s="64" t="s">
        <v>53</v>
      </c>
      <c r="C10" s="134">
        <f>72+59+37+16*11-4</f>
        <v>340</v>
      </c>
      <c r="D10" s="65">
        <v>40</v>
      </c>
      <c r="E10" s="65">
        <v>1</v>
      </c>
      <c r="F10" s="65">
        <f>(D10/C10)*100</f>
        <v>11.76470588235294</v>
      </c>
      <c r="G10" s="87">
        <f>+'Phụ lục 2'!D7</f>
        <v>170720000</v>
      </c>
      <c r="H10" s="65">
        <f>40*5</f>
        <v>200</v>
      </c>
      <c r="I10" s="65">
        <f>+E10*5</f>
        <v>5</v>
      </c>
      <c r="J10" s="65">
        <f>+H10/C10*100</f>
        <v>58.82352941176471</v>
      </c>
      <c r="K10" s="87">
        <f>+G10*5</f>
        <v>853600000</v>
      </c>
      <c r="L10" s="65">
        <f>+H10+D10</f>
        <v>240</v>
      </c>
      <c r="M10" s="65">
        <f>+I10+E10</f>
        <v>6</v>
      </c>
      <c r="N10" s="65">
        <f>+L10/C10*100</f>
        <v>70.58823529411765</v>
      </c>
      <c r="O10" s="88">
        <f>+K10+G10</f>
        <v>1024320000</v>
      </c>
      <c r="P10" s="165"/>
    </row>
    <row r="11" spans="1:16" ht="39.75" customHeight="1" thickBot="1">
      <c r="A11" s="63">
        <v>3</v>
      </c>
      <c r="B11" s="64" t="s">
        <v>54</v>
      </c>
      <c r="C11" s="134">
        <f>291+378+38+38+38+11</f>
        <v>794</v>
      </c>
      <c r="D11" s="65">
        <v>80</v>
      </c>
      <c r="E11" s="65">
        <v>1</v>
      </c>
      <c r="F11" s="65">
        <f>+D11/C11*100</f>
        <v>10.075566750629724</v>
      </c>
      <c r="G11" s="87">
        <f>+'Phụ lục 3'!D7</f>
        <v>262350000</v>
      </c>
      <c r="H11" s="65">
        <f>80*5</f>
        <v>400</v>
      </c>
      <c r="I11" s="65">
        <f>+E11*5</f>
        <v>5</v>
      </c>
      <c r="J11" s="65">
        <f>+H11/C11*100</f>
        <v>50.377833753148614</v>
      </c>
      <c r="K11" s="87">
        <f>+G11*5</f>
        <v>1311750000</v>
      </c>
      <c r="L11" s="65">
        <f>+H11+D11</f>
        <v>480</v>
      </c>
      <c r="M11" s="65">
        <f>+I11+E11</f>
        <v>6</v>
      </c>
      <c r="N11" s="65">
        <f>+L11/C11*100</f>
        <v>60.45340050377834</v>
      </c>
      <c r="O11" s="88">
        <f>+K11+G11</f>
        <v>1574100000</v>
      </c>
      <c r="P11" s="165"/>
    </row>
    <row r="12" spans="1:16" s="69" customFormat="1" ht="39.75" customHeight="1" thickBot="1">
      <c r="A12" s="113">
        <v>4</v>
      </c>
      <c r="B12" s="114" t="s">
        <v>55</v>
      </c>
      <c r="C12" s="135">
        <f>4+25+38+79+60+58+52+65+65+65</f>
        <v>511</v>
      </c>
      <c r="D12" s="114">
        <v>80</v>
      </c>
      <c r="E12" s="114">
        <v>1</v>
      </c>
      <c r="F12" s="65">
        <f>+D12/C12*100</f>
        <v>15.655577299412915</v>
      </c>
      <c r="G12" s="116">
        <f>+'Phụ lục 4'!D7</f>
        <v>253550000</v>
      </c>
      <c r="H12" s="114">
        <f>D12*5</f>
        <v>400</v>
      </c>
      <c r="I12" s="114">
        <f>+E12*5</f>
        <v>5</v>
      </c>
      <c r="J12" s="65">
        <f>+H12/C12*100</f>
        <v>78.27788649706457</v>
      </c>
      <c r="K12" s="116">
        <f>+G12*5</f>
        <v>1267750000</v>
      </c>
      <c r="L12" s="114">
        <f>+H12+D12</f>
        <v>480</v>
      </c>
      <c r="M12" s="114">
        <f>+I12+E12</f>
        <v>6</v>
      </c>
      <c r="N12" s="65">
        <f>+L12/C12*100</f>
        <v>93.9334637964775</v>
      </c>
      <c r="O12" s="115">
        <f>+K12+G12</f>
        <v>1521300000</v>
      </c>
      <c r="P12" s="166"/>
    </row>
    <row r="13" spans="1:16" s="74" customFormat="1" ht="30.75" customHeight="1" thickBot="1">
      <c r="A13" s="75"/>
      <c r="B13" s="73" t="s">
        <v>70</v>
      </c>
      <c r="C13" s="136"/>
      <c r="D13" s="73">
        <f>+D12+D11+D10</f>
        <v>200</v>
      </c>
      <c r="E13" s="73">
        <f>+E12+E11+E10</f>
        <v>3</v>
      </c>
      <c r="F13" s="73"/>
      <c r="G13" s="86">
        <f>+G12+G11+G10</f>
        <v>686620000</v>
      </c>
      <c r="H13" s="73">
        <f>+H12+H11+H10</f>
        <v>1000</v>
      </c>
      <c r="I13" s="73">
        <f>+I12+I11+I10</f>
        <v>15</v>
      </c>
      <c r="J13" s="73"/>
      <c r="K13" s="86">
        <f>+K12+K11+K10</f>
        <v>3433100000</v>
      </c>
      <c r="L13" s="73">
        <f>+H13+D13</f>
        <v>1200</v>
      </c>
      <c r="M13" s="73">
        <f>+I13+E13</f>
        <v>18</v>
      </c>
      <c r="N13" s="73"/>
      <c r="O13" s="89">
        <f>+O12+O11+O10</f>
        <v>4119720000</v>
      </c>
      <c r="P13" s="100" t="s">
        <v>87</v>
      </c>
    </row>
    <row r="14" spans="1:16" s="74" customFormat="1" ht="28.5" customHeight="1" thickBot="1">
      <c r="A14" s="71" t="s">
        <v>6</v>
      </c>
      <c r="B14" s="167" t="s">
        <v>71</v>
      </c>
      <c r="C14" s="168"/>
      <c r="D14" s="168"/>
      <c r="E14" s="168"/>
      <c r="F14" s="168"/>
      <c r="G14" s="168"/>
      <c r="H14" s="168"/>
      <c r="I14" s="168"/>
      <c r="J14" s="168"/>
      <c r="K14" s="168"/>
      <c r="L14" s="168"/>
      <c r="M14" s="168"/>
      <c r="N14" s="168"/>
      <c r="O14" s="169"/>
      <c r="P14" s="158" t="s">
        <v>141</v>
      </c>
    </row>
    <row r="15" spans="1:16" s="72" customFormat="1" ht="44.25" customHeight="1" thickBot="1">
      <c r="A15" s="113">
        <v>1</v>
      </c>
      <c r="B15" s="70" t="s">
        <v>79</v>
      </c>
      <c r="C15" s="137">
        <v>190</v>
      </c>
      <c r="D15" s="70">
        <v>40</v>
      </c>
      <c r="E15" s="70">
        <v>1</v>
      </c>
      <c r="F15" s="70">
        <f>+D15/C15*100</f>
        <v>21.052631578947366</v>
      </c>
      <c r="G15" s="90">
        <f>+'Phụ lục 5'!D7</f>
        <v>634040000</v>
      </c>
      <c r="H15" s="91">
        <f>30*5</f>
        <v>150</v>
      </c>
      <c r="I15" s="91">
        <v>5</v>
      </c>
      <c r="J15" s="91">
        <f>+H15/C15*100</f>
        <v>78.94736842105263</v>
      </c>
      <c r="K15" s="90">
        <f>+G15*5</f>
        <v>3170200000</v>
      </c>
      <c r="L15" s="70">
        <f>+H15+D15</f>
        <v>190</v>
      </c>
      <c r="M15" s="70">
        <f>+I15+E15</f>
        <v>6</v>
      </c>
      <c r="N15" s="70">
        <f>+L15/C15*100</f>
        <v>100</v>
      </c>
      <c r="O15" s="90">
        <f>+K15+G15</f>
        <v>3804240000</v>
      </c>
      <c r="P15" s="159"/>
    </row>
    <row r="16" spans="1:16" s="74" customFormat="1" ht="45.75" customHeight="1" thickBot="1">
      <c r="A16" s="71"/>
      <c r="B16" s="73" t="s">
        <v>72</v>
      </c>
      <c r="C16" s="136"/>
      <c r="D16" s="85">
        <f>+D15</f>
        <v>40</v>
      </c>
      <c r="E16" s="85">
        <f>+E15</f>
        <v>1</v>
      </c>
      <c r="F16" s="85"/>
      <c r="G16" s="86">
        <f>+G15</f>
        <v>634040000</v>
      </c>
      <c r="H16" s="85">
        <f>+H15</f>
        <v>150</v>
      </c>
      <c r="I16" s="85">
        <f>+I15</f>
        <v>5</v>
      </c>
      <c r="J16" s="85"/>
      <c r="K16" s="86">
        <f>+K15</f>
        <v>3170200000</v>
      </c>
      <c r="L16" s="85">
        <f>+L15</f>
        <v>190</v>
      </c>
      <c r="M16" s="85">
        <f>+M15</f>
        <v>6</v>
      </c>
      <c r="N16" s="85">
        <f>+N15</f>
        <v>100</v>
      </c>
      <c r="O16" s="86">
        <f>+O15</f>
        <v>3804240000</v>
      </c>
      <c r="P16" s="160"/>
    </row>
    <row r="17" spans="1:16" s="101" customFormat="1" ht="36.75" customHeight="1" thickBot="1">
      <c r="A17" s="99"/>
      <c r="B17" s="100" t="s">
        <v>127</v>
      </c>
      <c r="C17" s="138"/>
      <c r="D17" s="86">
        <f>+D16+D13</f>
        <v>240</v>
      </c>
      <c r="E17" s="86">
        <f>+E16+E13</f>
        <v>4</v>
      </c>
      <c r="F17" s="86">
        <f>+F16+F13</f>
        <v>0</v>
      </c>
      <c r="G17" s="86">
        <f>+G16+G13</f>
        <v>1320660000</v>
      </c>
      <c r="H17" s="86">
        <f>+H16+H13</f>
        <v>1150</v>
      </c>
      <c r="I17" s="86">
        <f>+I16+I13</f>
        <v>20</v>
      </c>
      <c r="J17" s="86">
        <f>+J16+J13</f>
        <v>0</v>
      </c>
      <c r="K17" s="86">
        <f>+K16+K13</f>
        <v>6603300000</v>
      </c>
      <c r="L17" s="86">
        <f>+L16+L13</f>
        <v>1390</v>
      </c>
      <c r="M17" s="86">
        <f>+M16+M13</f>
        <v>24</v>
      </c>
      <c r="N17" s="86">
        <f>+N16+N13</f>
        <v>100</v>
      </c>
      <c r="O17" s="86">
        <f>+O16+O13</f>
        <v>7923960000</v>
      </c>
      <c r="P17" s="86" t="s">
        <v>87</v>
      </c>
    </row>
    <row r="18" ht="18">
      <c r="A18" s="66" t="s">
        <v>73</v>
      </c>
    </row>
    <row r="19" ht="18">
      <c r="A19" s="66"/>
    </row>
    <row r="20" spans="1:16" ht="18">
      <c r="A20" s="175"/>
      <c r="B20" s="67"/>
      <c r="L20" s="163"/>
      <c r="M20" s="163"/>
      <c r="N20" s="163"/>
      <c r="O20" s="163"/>
      <c r="P20" s="163"/>
    </row>
    <row r="21" spans="1:16" ht="18">
      <c r="A21" s="175"/>
      <c r="B21" s="67"/>
      <c r="K21" s="102"/>
      <c r="L21" s="163"/>
      <c r="M21" s="163"/>
      <c r="N21" s="163"/>
      <c r="O21" s="163"/>
      <c r="P21" s="163"/>
    </row>
    <row r="22" ht="18">
      <c r="A22" s="68"/>
    </row>
    <row r="23" ht="18">
      <c r="K23" s="102"/>
    </row>
    <row r="25" spans="2:5" ht="18">
      <c r="B25" s="157"/>
      <c r="C25" s="157"/>
      <c r="D25" s="157"/>
      <c r="E25" s="157"/>
    </row>
  </sheetData>
  <sheetProtection/>
  <mergeCells count="19">
    <mergeCell ref="A20:A21"/>
    <mergeCell ref="A4:P4"/>
    <mergeCell ref="A5:P5"/>
    <mergeCell ref="A6:A7"/>
    <mergeCell ref="B6:B7"/>
    <mergeCell ref="C6:C7"/>
    <mergeCell ref="D6:G6"/>
    <mergeCell ref="H6:K6"/>
    <mergeCell ref="L6:O6"/>
    <mergeCell ref="B25:E25"/>
    <mergeCell ref="P14:P16"/>
    <mergeCell ref="A2:C2"/>
    <mergeCell ref="A3:C3"/>
    <mergeCell ref="L20:P20"/>
    <mergeCell ref="L21:P21"/>
    <mergeCell ref="P9:P12"/>
    <mergeCell ref="B14:O14"/>
    <mergeCell ref="B8:O8"/>
    <mergeCell ref="P6:P7"/>
  </mergeCells>
  <printOptions/>
  <pageMargins left="0.4" right="0.17" top="0.21" bottom="0.18"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G41"/>
  <sheetViews>
    <sheetView workbookViewId="0" topLeftCell="A13">
      <selection activeCell="E25" sqref="E25:E32"/>
    </sheetView>
  </sheetViews>
  <sheetFormatPr defaultColWidth="8.88671875" defaultRowHeight="16.5"/>
  <cols>
    <col min="1" max="1" width="4.21484375" style="45" customWidth="1"/>
    <col min="2" max="2" width="27.3359375" style="4" customWidth="1"/>
    <col min="3" max="3" width="33.21484375" style="5" customWidth="1"/>
    <col min="4" max="4" width="15.99609375" style="13" customWidth="1"/>
    <col min="5" max="5" width="23.6640625" style="0" customWidth="1"/>
    <col min="6" max="6" width="22.99609375" style="0" customWidth="1"/>
  </cols>
  <sheetData>
    <row r="1" spans="1:6" ht="26.25" customHeight="1">
      <c r="A1" s="187" t="s">
        <v>7</v>
      </c>
      <c r="B1" s="187"/>
      <c r="C1" s="187"/>
      <c r="D1" s="187"/>
      <c r="E1" s="187"/>
      <c r="F1" s="43"/>
    </row>
    <row r="2" spans="1:7" s="6" customFormat="1" ht="26.25" customHeight="1">
      <c r="A2" s="188" t="s">
        <v>109</v>
      </c>
      <c r="B2" s="188"/>
      <c r="C2" s="188"/>
      <c r="D2" s="188"/>
      <c r="E2" s="188"/>
      <c r="F2" s="131" t="s">
        <v>60</v>
      </c>
      <c r="G2" s="6"/>
    </row>
    <row r="3" spans="1:6" s="6" customFormat="1" ht="24" customHeight="1">
      <c r="A3" s="189" t="s">
        <v>110</v>
      </c>
      <c r="B3" s="189"/>
      <c r="C3" s="189"/>
      <c r="D3" s="189"/>
      <c r="E3" s="189"/>
      <c r="F3" s="129"/>
    </row>
    <row r="4" spans="3:7" ht="26.25" customHeight="1">
      <c r="C4" s="125"/>
      <c r="D4" s="125"/>
      <c r="E4" s="9"/>
      <c r="F4" s="9" t="s">
        <v>29</v>
      </c>
    </row>
    <row r="5" spans="1:7" ht="27.75" customHeight="1">
      <c r="A5" s="192" t="s">
        <v>0</v>
      </c>
      <c r="B5" s="192" t="s">
        <v>44</v>
      </c>
      <c r="C5" s="194" t="s">
        <v>5</v>
      </c>
      <c r="D5" s="196" t="s">
        <v>3</v>
      </c>
      <c r="E5" s="190" t="s">
        <v>8</v>
      </c>
      <c r="F5" s="190" t="s">
        <v>2</v>
      </c>
    </row>
    <row r="6" spans="1:6" ht="18.75" customHeight="1">
      <c r="A6" s="193"/>
      <c r="B6" s="193"/>
      <c r="C6" s="195"/>
      <c r="D6" s="196"/>
      <c r="E6" s="191"/>
      <c r="F6" s="191"/>
    </row>
    <row r="7" spans="1:7" s="27" customFormat="1" ht="26.25" customHeight="1">
      <c r="A7" s="34"/>
      <c r="B7" s="35" t="s">
        <v>39</v>
      </c>
      <c r="C7" s="1"/>
      <c r="D7" s="14">
        <f>+D8+D17+D24+D33</f>
        <v>170720000</v>
      </c>
      <c r="E7" s="2"/>
      <c r="F7" s="2"/>
      <c r="G7" s="42"/>
    </row>
    <row r="8" spans="1:7" s="6" customFormat="1" ht="39.75" customHeight="1">
      <c r="A8" s="34" t="s">
        <v>1</v>
      </c>
      <c r="B8" s="11" t="s">
        <v>19</v>
      </c>
      <c r="C8" s="1"/>
      <c r="D8" s="14">
        <f>+D9+D10+D11+D12+D13+D14</f>
        <v>44000000</v>
      </c>
      <c r="E8" s="2"/>
      <c r="F8" s="2"/>
      <c r="G8" s="42"/>
    </row>
    <row r="9" spans="1:7" s="19" customFormat="1" ht="78.75" customHeight="1">
      <c r="A9" s="132" t="s">
        <v>9</v>
      </c>
      <c r="B9" s="16" t="s">
        <v>151</v>
      </c>
      <c r="C9" s="20" t="s">
        <v>90</v>
      </c>
      <c r="D9" s="17">
        <f>1500000*2*3</f>
        <v>9000000</v>
      </c>
      <c r="E9" s="185" t="s">
        <v>163</v>
      </c>
      <c r="F9" s="185" t="s">
        <v>157</v>
      </c>
      <c r="G9" s="19"/>
    </row>
    <row r="10" spans="1:6" s="19" customFormat="1" ht="75" customHeight="1">
      <c r="A10" s="132" t="s">
        <v>10</v>
      </c>
      <c r="B10" s="16" t="s">
        <v>152</v>
      </c>
      <c r="C10" s="20" t="s">
        <v>91</v>
      </c>
      <c r="D10" s="17">
        <f>1000000*2*3</f>
        <v>6000000</v>
      </c>
      <c r="E10" s="186"/>
      <c r="F10" s="148"/>
    </row>
    <row r="11" spans="1:7" s="84" customFormat="1" ht="63.75" customHeight="1">
      <c r="A11" s="132" t="s">
        <v>11</v>
      </c>
      <c r="B11" s="16" t="s">
        <v>147</v>
      </c>
      <c r="C11" s="20" t="s">
        <v>148</v>
      </c>
      <c r="D11" s="77">
        <f>4*1*150000</f>
        <v>600000</v>
      </c>
      <c r="E11" s="155" t="s">
        <v>35</v>
      </c>
      <c r="F11" s="185" t="s">
        <v>32</v>
      </c>
      <c r="G11" s="84"/>
    </row>
    <row r="12" spans="1:6" s="19" customFormat="1" ht="50.25" customHeight="1">
      <c r="A12" s="76" t="s">
        <v>12</v>
      </c>
      <c r="B12" s="16" t="s">
        <v>18</v>
      </c>
      <c r="C12" s="26" t="s">
        <v>92</v>
      </c>
      <c r="D12" s="17">
        <f>300000*4*2</f>
        <v>2400000</v>
      </c>
      <c r="E12" s="156"/>
      <c r="F12" s="148"/>
    </row>
    <row r="13" spans="1:6" s="9" customFormat="1" ht="66" customHeight="1">
      <c r="A13" s="76" t="s">
        <v>13</v>
      </c>
      <c r="B13" s="10" t="s">
        <v>77</v>
      </c>
      <c r="C13" s="36" t="s">
        <v>93</v>
      </c>
      <c r="D13" s="37">
        <f>1000000*6</f>
        <v>6000000</v>
      </c>
      <c r="E13" s="153" t="s">
        <v>34</v>
      </c>
      <c r="F13" s="38"/>
    </row>
    <row r="14" spans="1:6" ht="40.5" customHeight="1">
      <c r="A14" s="76" t="s">
        <v>14</v>
      </c>
      <c r="B14" s="10" t="s">
        <v>31</v>
      </c>
      <c r="C14" s="12"/>
      <c r="D14" s="15">
        <f>+D15+D16</f>
        <v>20000000</v>
      </c>
      <c r="E14" s="154"/>
      <c r="F14" s="3"/>
    </row>
    <row r="15" spans="1:6" s="25" customFormat="1" ht="33.75" customHeight="1">
      <c r="A15" s="48"/>
      <c r="B15" s="21" t="s">
        <v>33</v>
      </c>
      <c r="C15" s="22" t="s">
        <v>94</v>
      </c>
      <c r="D15" s="23">
        <f>8000000*2</f>
        <v>16000000</v>
      </c>
      <c r="E15" s="154"/>
      <c r="F15" s="24"/>
    </row>
    <row r="16" spans="1:6" s="25" customFormat="1" ht="71.25" customHeight="1">
      <c r="A16" s="48"/>
      <c r="B16" s="21" t="s">
        <v>46</v>
      </c>
      <c r="C16" s="22" t="s">
        <v>95</v>
      </c>
      <c r="D16" s="23">
        <v>4000000</v>
      </c>
      <c r="E16" s="144"/>
      <c r="F16" s="24"/>
    </row>
    <row r="17" spans="1:6" s="32" customFormat="1" ht="39.75" customHeight="1">
      <c r="A17" s="49" t="s">
        <v>6</v>
      </c>
      <c r="B17" s="29" t="s">
        <v>20</v>
      </c>
      <c r="C17" s="30"/>
      <c r="D17" s="31">
        <f>+D18+D19+D20+D21+D22+D23</f>
        <v>25000000</v>
      </c>
      <c r="E17" s="28"/>
      <c r="F17" s="28"/>
    </row>
    <row r="18" spans="1:6" s="108" customFormat="1" ht="69.75" customHeight="1">
      <c r="A18" s="109" t="s">
        <v>9</v>
      </c>
      <c r="B18" s="106" t="s">
        <v>45</v>
      </c>
      <c r="C18" s="110" t="s">
        <v>132</v>
      </c>
      <c r="D18" s="107">
        <f>20000*4*25</f>
        <v>2000000</v>
      </c>
      <c r="E18" s="149" t="s">
        <v>164</v>
      </c>
      <c r="F18" s="106" t="s">
        <v>36</v>
      </c>
    </row>
    <row r="19" spans="1:6" s="108" customFormat="1" ht="40.5" customHeight="1">
      <c r="A19" s="109" t="s">
        <v>10</v>
      </c>
      <c r="B19" s="106" t="s">
        <v>122</v>
      </c>
      <c r="C19" s="110" t="s">
        <v>133</v>
      </c>
      <c r="D19" s="107">
        <f>20000*3*40</f>
        <v>2400000</v>
      </c>
      <c r="E19" s="150"/>
      <c r="F19" s="117"/>
    </row>
    <row r="20" spans="1:6" s="108" customFormat="1" ht="42.75" customHeight="1">
      <c r="A20" s="109" t="s">
        <v>11</v>
      </c>
      <c r="B20" s="106" t="s">
        <v>40</v>
      </c>
      <c r="C20" s="127" t="s">
        <v>130</v>
      </c>
      <c r="D20" s="107">
        <f>40000*40</f>
        <v>1600000</v>
      </c>
      <c r="E20" s="184"/>
      <c r="F20" s="106"/>
    </row>
    <row r="21" spans="1:6" s="19" customFormat="1" ht="54" customHeight="1">
      <c r="A21" s="47" t="s">
        <v>12</v>
      </c>
      <c r="B21" s="16" t="s">
        <v>96</v>
      </c>
      <c r="C21" s="20" t="s">
        <v>99</v>
      </c>
      <c r="D21" s="17">
        <f>150000*40</f>
        <v>6000000</v>
      </c>
      <c r="E21" s="147" t="s">
        <v>161</v>
      </c>
      <c r="F21" s="18"/>
    </row>
    <row r="22" spans="1:6" s="19" customFormat="1" ht="33.75" customHeight="1">
      <c r="A22" s="47" t="s">
        <v>13</v>
      </c>
      <c r="B22" s="16" t="s">
        <v>22</v>
      </c>
      <c r="C22" s="20" t="s">
        <v>97</v>
      </c>
      <c r="D22" s="17">
        <v>10000000</v>
      </c>
      <c r="E22" s="147"/>
      <c r="F22" s="18"/>
    </row>
    <row r="23" spans="1:6" s="19" customFormat="1" ht="63.75" customHeight="1">
      <c r="A23" s="47" t="s">
        <v>14</v>
      </c>
      <c r="B23" s="16" t="s">
        <v>37</v>
      </c>
      <c r="C23" s="20" t="s">
        <v>100</v>
      </c>
      <c r="D23" s="17">
        <f>200000*15</f>
        <v>3000000</v>
      </c>
      <c r="E23" s="148"/>
      <c r="F23" s="16" t="s">
        <v>38</v>
      </c>
    </row>
    <row r="24" spans="1:6" s="32" customFormat="1" ht="33.75" customHeight="1">
      <c r="A24" s="49" t="s">
        <v>28</v>
      </c>
      <c r="B24" s="29" t="s">
        <v>98</v>
      </c>
      <c r="C24" s="30"/>
      <c r="D24" s="31">
        <f>+SUM(D25:D32)</f>
        <v>86200000</v>
      </c>
      <c r="E24" s="28"/>
      <c r="F24" s="28"/>
    </row>
    <row r="25" spans="1:6" s="19" customFormat="1" ht="45" customHeight="1">
      <c r="A25" s="47" t="s">
        <v>11</v>
      </c>
      <c r="B25" s="16" t="s">
        <v>43</v>
      </c>
      <c r="C25" s="20" t="s">
        <v>101</v>
      </c>
      <c r="D25" s="77">
        <f>3*8000000</f>
        <v>24000000</v>
      </c>
      <c r="E25" s="145" t="s">
        <v>165</v>
      </c>
      <c r="F25" s="153" t="s">
        <v>34</v>
      </c>
    </row>
    <row r="26" spans="1:6" s="19" customFormat="1" ht="37.5" customHeight="1">
      <c r="A26" s="47" t="s">
        <v>12</v>
      </c>
      <c r="B26" s="16" t="s">
        <v>136</v>
      </c>
      <c r="C26" s="20" t="s">
        <v>131</v>
      </c>
      <c r="D26" s="17">
        <f>150000*2*60</f>
        <v>18000000</v>
      </c>
      <c r="E26" s="146"/>
      <c r="F26" s="154"/>
    </row>
    <row r="27" spans="1:6" s="19" customFormat="1" ht="48" customHeight="1">
      <c r="A27" s="47" t="s">
        <v>13</v>
      </c>
      <c r="B27" s="16" t="s">
        <v>21</v>
      </c>
      <c r="C27" s="20" t="s">
        <v>103</v>
      </c>
      <c r="D27" s="17">
        <f>20000*6*60</f>
        <v>7200000</v>
      </c>
      <c r="E27" s="146"/>
      <c r="F27" s="92"/>
    </row>
    <row r="28" spans="1:6" s="19" customFormat="1" ht="39.75" customHeight="1">
      <c r="A28" s="47" t="s">
        <v>14</v>
      </c>
      <c r="B28" s="16" t="s">
        <v>23</v>
      </c>
      <c r="C28" s="20" t="s">
        <v>83</v>
      </c>
      <c r="D28" s="17">
        <f>100000*40</f>
        <v>4000000</v>
      </c>
      <c r="E28" s="146"/>
      <c r="F28" s="92"/>
    </row>
    <row r="29" spans="1:6" s="19" customFormat="1" ht="41.25" customHeight="1">
      <c r="A29" s="47" t="s">
        <v>15</v>
      </c>
      <c r="B29" s="16" t="s">
        <v>24</v>
      </c>
      <c r="C29" s="20" t="s">
        <v>104</v>
      </c>
      <c r="D29" s="17">
        <f>500000*40</f>
        <v>20000000</v>
      </c>
      <c r="E29" s="146"/>
      <c r="F29" s="92"/>
    </row>
    <row r="30" spans="1:6" s="19" customFormat="1" ht="30.75" customHeight="1">
      <c r="A30" s="47" t="s">
        <v>16</v>
      </c>
      <c r="B30" s="16" t="s">
        <v>42</v>
      </c>
      <c r="C30" s="20" t="s">
        <v>105</v>
      </c>
      <c r="D30" s="17">
        <v>8000000</v>
      </c>
      <c r="E30" s="146"/>
      <c r="F30" s="92"/>
    </row>
    <row r="31" spans="1:6" s="19" customFormat="1" ht="42.75" customHeight="1">
      <c r="A31" s="47" t="s">
        <v>78</v>
      </c>
      <c r="B31" s="16" t="s">
        <v>25</v>
      </c>
      <c r="C31" s="20" t="s">
        <v>95</v>
      </c>
      <c r="D31" s="17">
        <v>4000000</v>
      </c>
      <c r="E31" s="146"/>
      <c r="F31" s="92"/>
    </row>
    <row r="32" spans="1:6" s="19" customFormat="1" ht="42.75" customHeight="1">
      <c r="A32" s="47" t="s">
        <v>15</v>
      </c>
      <c r="B32" s="16" t="s">
        <v>26</v>
      </c>
      <c r="C32" s="20" t="s">
        <v>106</v>
      </c>
      <c r="D32" s="17">
        <v>1000000</v>
      </c>
      <c r="E32" s="146"/>
      <c r="F32" s="93"/>
    </row>
    <row r="33" spans="1:6" s="32" customFormat="1" ht="42.75" customHeight="1">
      <c r="A33" s="49" t="s">
        <v>107</v>
      </c>
      <c r="B33" s="29" t="s">
        <v>27</v>
      </c>
      <c r="C33" s="30"/>
      <c r="D33" s="31">
        <f>+(D8+D17+D24+0)*0.1</f>
        <v>15520000</v>
      </c>
      <c r="E33" s="49"/>
      <c r="F33" s="28"/>
    </row>
    <row r="34" spans="1:6" s="19" customFormat="1" ht="51" customHeight="1">
      <c r="A34" s="47"/>
      <c r="B34" s="16" t="s">
        <v>108</v>
      </c>
      <c r="C34" s="94" t="s">
        <v>144</v>
      </c>
      <c r="D34" s="17">
        <f>+D33</f>
        <v>15520000</v>
      </c>
      <c r="E34" s="96"/>
      <c r="F34" s="18"/>
    </row>
    <row r="35" spans="1:6" s="19" customFormat="1" ht="33.75" customHeight="1">
      <c r="A35" s="47"/>
      <c r="B35" s="16"/>
      <c r="C35" s="20"/>
      <c r="D35" s="17"/>
      <c r="E35" s="96"/>
      <c r="F35" s="18"/>
    </row>
    <row r="36" spans="1:6" s="19" customFormat="1" ht="33.75" customHeight="1">
      <c r="A36" s="78"/>
      <c r="B36" s="79"/>
      <c r="C36" s="80"/>
      <c r="D36" s="81"/>
      <c r="E36" s="83"/>
      <c r="F36" s="82"/>
    </row>
    <row r="37" spans="2:4" ht="16.5">
      <c r="B37" s="39"/>
      <c r="D37" s="41"/>
    </row>
    <row r="41" spans="2:4" ht="16.5">
      <c r="B41" s="7"/>
      <c r="D41" s="40"/>
    </row>
  </sheetData>
  <sheetProtection/>
  <mergeCells count="18">
    <mergeCell ref="D5:D6"/>
    <mergeCell ref="E5:E6"/>
    <mergeCell ref="F9:F10"/>
    <mergeCell ref="F11:F12"/>
    <mergeCell ref="E9:E10"/>
    <mergeCell ref="A1:E1"/>
    <mergeCell ref="A2:E2"/>
    <mergeCell ref="A3:E3"/>
    <mergeCell ref="F5:F6"/>
    <mergeCell ref="B5:B6"/>
    <mergeCell ref="A5:A6"/>
    <mergeCell ref="C5:C6"/>
    <mergeCell ref="F25:F26"/>
    <mergeCell ref="E11:E12"/>
    <mergeCell ref="E13:E16"/>
    <mergeCell ref="E25:E32"/>
    <mergeCell ref="E21:E23"/>
    <mergeCell ref="E18:E20"/>
  </mergeCells>
  <printOptions/>
  <pageMargins left="0.34" right="0.24" top="0.23" bottom="0.23" header="0.3" footer="0.3"/>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G41"/>
  <sheetViews>
    <sheetView workbookViewId="0" topLeftCell="A34">
      <selection activeCell="E25" sqref="E25:E32"/>
    </sheetView>
  </sheetViews>
  <sheetFormatPr defaultColWidth="8.88671875" defaultRowHeight="16.5"/>
  <cols>
    <col min="1" max="1" width="4.21484375" style="45" customWidth="1"/>
    <col min="2" max="2" width="26.4453125" style="4" customWidth="1"/>
    <col min="3" max="3" width="32.5546875" style="5" customWidth="1"/>
    <col min="4" max="4" width="15.99609375" style="13" customWidth="1"/>
    <col min="5" max="5" width="20.88671875" style="0" customWidth="1"/>
    <col min="6" max="6" width="21.4453125" style="0" customWidth="1"/>
  </cols>
  <sheetData>
    <row r="1" spans="1:6" ht="26.25" customHeight="1">
      <c r="A1" s="187" t="s">
        <v>7</v>
      </c>
      <c r="B1" s="187"/>
      <c r="C1" s="187"/>
      <c r="D1" s="187"/>
      <c r="E1" s="187"/>
      <c r="F1" s="43"/>
    </row>
    <row r="2" spans="1:7" s="6" customFormat="1" ht="26.25" customHeight="1">
      <c r="A2" s="188" t="s">
        <v>109</v>
      </c>
      <c r="B2" s="188"/>
      <c r="C2" s="188"/>
      <c r="D2" s="188"/>
      <c r="E2" s="188"/>
      <c r="F2" s="130" t="s">
        <v>154</v>
      </c>
      <c r="G2" s="6"/>
    </row>
    <row r="3" spans="1:6" s="6" customFormat="1" ht="24" customHeight="1">
      <c r="A3" s="189" t="s">
        <v>120</v>
      </c>
      <c r="B3" s="189"/>
      <c r="C3" s="189"/>
      <c r="D3" s="189"/>
      <c r="E3" s="189"/>
      <c r="F3" s="44"/>
    </row>
    <row r="4" spans="3:7" ht="26.25" customHeight="1">
      <c r="C4" s="95"/>
      <c r="E4" s="9"/>
      <c r="F4" s="9" t="s">
        <v>29</v>
      </c>
    </row>
    <row r="5" spans="1:7" ht="24.75" customHeight="1">
      <c r="A5" s="192" t="s">
        <v>0</v>
      </c>
      <c r="B5" s="192" t="s">
        <v>44</v>
      </c>
      <c r="C5" s="194" t="s">
        <v>5</v>
      </c>
      <c r="D5" s="196" t="s">
        <v>3</v>
      </c>
      <c r="E5" s="190" t="s">
        <v>8</v>
      </c>
      <c r="F5" s="190" t="s">
        <v>2</v>
      </c>
    </row>
    <row r="6" spans="1:6" ht="14.25" customHeight="1">
      <c r="A6" s="193"/>
      <c r="B6" s="193"/>
      <c r="C6" s="195"/>
      <c r="D6" s="196"/>
      <c r="E6" s="191"/>
      <c r="F6" s="191"/>
    </row>
    <row r="7" spans="1:7" s="27" customFormat="1" ht="36.75" customHeight="1">
      <c r="A7" s="34"/>
      <c r="B7" s="35" t="s">
        <v>39</v>
      </c>
      <c r="C7" s="1"/>
      <c r="D7" s="14">
        <f>+D8+D17+D24+D33</f>
        <v>262350000</v>
      </c>
      <c r="E7" s="2"/>
      <c r="F7" s="2"/>
      <c r="G7" s="42"/>
    </row>
    <row r="8" spans="1:7" s="6" customFormat="1" ht="49.5" customHeight="1">
      <c r="A8" s="34" t="s">
        <v>1</v>
      </c>
      <c r="B8" s="11" t="s">
        <v>19</v>
      </c>
      <c r="C8" s="1"/>
      <c r="D8" s="14">
        <f>+D9+D10+D11+D12+D13+D14</f>
        <v>55500000</v>
      </c>
      <c r="E8" s="2"/>
      <c r="F8" s="2"/>
      <c r="G8" s="42"/>
    </row>
    <row r="9" spans="1:7" s="19" customFormat="1" ht="43.5" customHeight="1">
      <c r="A9" s="76" t="s">
        <v>9</v>
      </c>
      <c r="B9" s="16" t="s">
        <v>151</v>
      </c>
      <c r="C9" s="20" t="s">
        <v>111</v>
      </c>
      <c r="D9" s="17">
        <f>1500000*2*5</f>
        <v>15000000</v>
      </c>
      <c r="E9" s="185" t="s">
        <v>162</v>
      </c>
      <c r="F9" s="185" t="s">
        <v>158</v>
      </c>
      <c r="G9" s="19"/>
    </row>
    <row r="10" spans="1:6" s="19" customFormat="1" ht="145.5" customHeight="1">
      <c r="A10" s="76" t="s">
        <v>10</v>
      </c>
      <c r="B10" s="16" t="s">
        <v>152</v>
      </c>
      <c r="C10" s="20" t="s">
        <v>112</v>
      </c>
      <c r="D10" s="17">
        <f>1000000*2*5</f>
        <v>10000000</v>
      </c>
      <c r="E10" s="186"/>
      <c r="F10" s="148"/>
    </row>
    <row r="11" spans="1:7" s="84" customFormat="1" ht="87.75" customHeight="1">
      <c r="A11" s="132" t="s">
        <v>11</v>
      </c>
      <c r="B11" s="16" t="s">
        <v>17</v>
      </c>
      <c r="C11" s="20" t="s">
        <v>149</v>
      </c>
      <c r="D11" s="77">
        <f>6*150000</f>
        <v>900000</v>
      </c>
      <c r="E11" s="155" t="s">
        <v>35</v>
      </c>
      <c r="F11" s="185" t="s">
        <v>32</v>
      </c>
      <c r="G11" s="84"/>
    </row>
    <row r="12" spans="1:6" s="19" customFormat="1" ht="92.25" customHeight="1">
      <c r="A12" s="76" t="s">
        <v>12</v>
      </c>
      <c r="B12" s="16" t="s">
        <v>18</v>
      </c>
      <c r="C12" s="26" t="s">
        <v>113</v>
      </c>
      <c r="D12" s="17">
        <f>300000*6*2</f>
        <v>3600000</v>
      </c>
      <c r="E12" s="156"/>
      <c r="F12" s="148"/>
    </row>
    <row r="13" spans="1:6" s="9" customFormat="1" ht="56.25" customHeight="1">
      <c r="A13" s="76" t="s">
        <v>13</v>
      </c>
      <c r="B13" s="10" t="s">
        <v>77</v>
      </c>
      <c r="C13" s="36" t="s">
        <v>93</v>
      </c>
      <c r="D13" s="37">
        <f>1000000*6</f>
        <v>6000000</v>
      </c>
      <c r="E13" s="153" t="s">
        <v>34</v>
      </c>
      <c r="F13" s="38"/>
    </row>
    <row r="14" spans="1:7" ht="33.75" customHeight="1">
      <c r="A14" s="76" t="s">
        <v>14</v>
      </c>
      <c r="B14" s="10" t="s">
        <v>31</v>
      </c>
      <c r="C14" s="12"/>
      <c r="D14" s="15">
        <f>+D15+D16</f>
        <v>20000000</v>
      </c>
      <c r="E14" s="154"/>
      <c r="F14" s="97">
        <f>+D8+D17+D24</f>
        <v>238500000</v>
      </c>
    </row>
    <row r="15" spans="1:6" s="25" customFormat="1" ht="33.75" customHeight="1">
      <c r="A15" s="48"/>
      <c r="B15" s="21" t="s">
        <v>33</v>
      </c>
      <c r="C15" s="22" t="s">
        <v>94</v>
      </c>
      <c r="D15" s="23">
        <f>8000000*2</f>
        <v>16000000</v>
      </c>
      <c r="E15" s="154"/>
      <c r="F15" s="24"/>
    </row>
    <row r="16" spans="1:6" s="25" customFormat="1" ht="71.25" customHeight="1">
      <c r="A16" s="48"/>
      <c r="B16" s="21" t="s">
        <v>46</v>
      </c>
      <c r="C16" s="22" t="s">
        <v>95</v>
      </c>
      <c r="D16" s="23">
        <v>4000000</v>
      </c>
      <c r="E16" s="144"/>
      <c r="F16" s="24"/>
    </row>
    <row r="17" spans="1:6" s="32" customFormat="1" ht="39.75" customHeight="1">
      <c r="A17" s="49" t="s">
        <v>6</v>
      </c>
      <c r="B17" s="29" t="s">
        <v>20</v>
      </c>
      <c r="C17" s="30"/>
      <c r="D17" s="31">
        <f>+D18+D19+D20+D21+D22+D23</f>
        <v>44000000</v>
      </c>
      <c r="E17" s="28"/>
      <c r="F17" s="28"/>
    </row>
    <row r="18" spans="1:6" s="108" customFormat="1" ht="69.75" customHeight="1">
      <c r="A18" s="109" t="s">
        <v>9</v>
      </c>
      <c r="B18" s="106" t="s">
        <v>45</v>
      </c>
      <c r="C18" s="110" t="s">
        <v>134</v>
      </c>
      <c r="D18" s="107">
        <f>20000*6*40</f>
        <v>4800000</v>
      </c>
      <c r="E18" s="149" t="s">
        <v>164</v>
      </c>
      <c r="F18" s="112" t="s">
        <v>36</v>
      </c>
    </row>
    <row r="19" spans="1:6" s="108" customFormat="1" ht="40.5" customHeight="1">
      <c r="A19" s="109" t="s">
        <v>10</v>
      </c>
      <c r="B19" s="106" t="s">
        <v>122</v>
      </c>
      <c r="C19" s="110" t="s">
        <v>137</v>
      </c>
      <c r="D19" s="107">
        <f>20000*5*80</f>
        <v>8000000</v>
      </c>
      <c r="E19" s="150"/>
      <c r="F19" s="106"/>
    </row>
    <row r="20" spans="1:6" s="108" customFormat="1" ht="42.75" customHeight="1">
      <c r="A20" s="109" t="s">
        <v>11</v>
      </c>
      <c r="B20" s="106" t="s">
        <v>40</v>
      </c>
      <c r="C20" s="127" t="s">
        <v>135</v>
      </c>
      <c r="D20" s="107">
        <f>40000*80</f>
        <v>3200000</v>
      </c>
      <c r="E20" s="150"/>
      <c r="F20" s="118"/>
    </row>
    <row r="21" spans="1:6" s="19" customFormat="1" ht="54" customHeight="1">
      <c r="A21" s="47" t="s">
        <v>12</v>
      </c>
      <c r="B21" s="16" t="s">
        <v>96</v>
      </c>
      <c r="C21" s="20" t="s">
        <v>114</v>
      </c>
      <c r="D21" s="17">
        <f>150000*80</f>
        <v>12000000</v>
      </c>
      <c r="E21" s="185" t="s">
        <v>161</v>
      </c>
      <c r="F21" s="18"/>
    </row>
    <row r="22" spans="1:6" s="19" customFormat="1" ht="33.75" customHeight="1">
      <c r="A22" s="47" t="s">
        <v>13</v>
      </c>
      <c r="B22" s="16" t="s">
        <v>22</v>
      </c>
      <c r="C22" s="20" t="s">
        <v>97</v>
      </c>
      <c r="D22" s="17">
        <v>10000000</v>
      </c>
      <c r="E22" s="147"/>
      <c r="F22" s="18"/>
    </row>
    <row r="23" spans="1:6" s="19" customFormat="1" ht="63.75" customHeight="1">
      <c r="A23" s="47" t="s">
        <v>14</v>
      </c>
      <c r="B23" s="16" t="s">
        <v>37</v>
      </c>
      <c r="C23" s="20" t="s">
        <v>115</v>
      </c>
      <c r="D23" s="17">
        <f>200000*30</f>
        <v>6000000</v>
      </c>
      <c r="E23" s="148"/>
      <c r="F23" s="16" t="s">
        <v>38</v>
      </c>
    </row>
    <row r="24" spans="1:6" s="32" customFormat="1" ht="33.75" customHeight="1">
      <c r="A24" s="49" t="s">
        <v>28</v>
      </c>
      <c r="B24" s="29" t="s">
        <v>98</v>
      </c>
      <c r="C24" s="30"/>
      <c r="D24" s="31">
        <f>+SUM(D25:D32)</f>
        <v>139000000</v>
      </c>
      <c r="E24" s="28"/>
      <c r="F24" s="28"/>
    </row>
    <row r="25" spans="1:6" s="19" customFormat="1" ht="61.5" customHeight="1">
      <c r="A25" s="47" t="s">
        <v>9</v>
      </c>
      <c r="B25" s="16" t="s">
        <v>43</v>
      </c>
      <c r="C25" s="20" t="s">
        <v>116</v>
      </c>
      <c r="D25" s="77">
        <f>5*8000000</f>
        <v>40000000</v>
      </c>
      <c r="E25" s="185" t="s">
        <v>160</v>
      </c>
      <c r="F25" s="126" t="s">
        <v>34</v>
      </c>
    </row>
    <row r="26" spans="1:6" s="19" customFormat="1" ht="37.5" customHeight="1">
      <c r="A26" s="47" t="s">
        <v>10</v>
      </c>
      <c r="B26" s="16" t="s">
        <v>136</v>
      </c>
      <c r="C26" s="20" t="s">
        <v>131</v>
      </c>
      <c r="D26" s="17">
        <v>18000000</v>
      </c>
      <c r="E26" s="147"/>
      <c r="F26" s="92"/>
    </row>
    <row r="27" spans="1:6" s="19" customFormat="1" ht="41.25" customHeight="1">
      <c r="A27" s="47" t="s">
        <v>11</v>
      </c>
      <c r="B27" s="16" t="s">
        <v>21</v>
      </c>
      <c r="C27" s="20" t="s">
        <v>117</v>
      </c>
      <c r="D27" s="17">
        <f>20000*10*100</f>
        <v>20000000</v>
      </c>
      <c r="E27" s="147"/>
      <c r="F27" s="93"/>
    </row>
    <row r="28" spans="1:6" s="19" customFormat="1" ht="39.75" customHeight="1">
      <c r="A28" s="47" t="s">
        <v>12</v>
      </c>
      <c r="B28" s="16" t="s">
        <v>23</v>
      </c>
      <c r="C28" s="20" t="s">
        <v>118</v>
      </c>
      <c r="D28" s="17">
        <f>100000*80</f>
        <v>8000000</v>
      </c>
      <c r="E28" s="147"/>
      <c r="F28" s="126" t="s">
        <v>34</v>
      </c>
    </row>
    <row r="29" spans="1:6" s="19" customFormat="1" ht="41.25" customHeight="1">
      <c r="A29" s="47" t="s">
        <v>13</v>
      </c>
      <c r="B29" s="16" t="s">
        <v>24</v>
      </c>
      <c r="C29" s="20" t="s">
        <v>119</v>
      </c>
      <c r="D29" s="17">
        <f>500000*80</f>
        <v>40000000</v>
      </c>
      <c r="E29" s="147"/>
      <c r="F29" s="92"/>
    </row>
    <row r="30" spans="1:6" s="19" customFormat="1" ht="30.75" customHeight="1">
      <c r="A30" s="47" t="s">
        <v>14</v>
      </c>
      <c r="B30" s="16" t="s">
        <v>42</v>
      </c>
      <c r="C30" s="20" t="s">
        <v>105</v>
      </c>
      <c r="D30" s="17">
        <v>8000000</v>
      </c>
      <c r="E30" s="147"/>
      <c r="F30" s="92"/>
    </row>
    <row r="31" spans="1:6" s="19" customFormat="1" ht="42.75" customHeight="1">
      <c r="A31" s="47" t="s">
        <v>15</v>
      </c>
      <c r="B31" s="16" t="s">
        <v>25</v>
      </c>
      <c r="C31" s="20" t="s">
        <v>95</v>
      </c>
      <c r="D31" s="17">
        <v>4000000</v>
      </c>
      <c r="E31" s="147"/>
      <c r="F31" s="92"/>
    </row>
    <row r="32" spans="1:6" s="19" customFormat="1" ht="42.75" customHeight="1">
      <c r="A32" s="47" t="s">
        <v>16</v>
      </c>
      <c r="B32" s="16" t="s">
        <v>26</v>
      </c>
      <c r="C32" s="20" t="s">
        <v>106</v>
      </c>
      <c r="D32" s="17">
        <v>1000000</v>
      </c>
      <c r="E32" s="147"/>
      <c r="F32" s="93"/>
    </row>
    <row r="33" spans="1:6" s="32" customFormat="1" ht="42.75" customHeight="1">
      <c r="A33" s="49" t="s">
        <v>107</v>
      </c>
      <c r="B33" s="29" t="s">
        <v>27</v>
      </c>
      <c r="C33" s="30"/>
      <c r="D33" s="31">
        <f>+D34</f>
        <v>23850000</v>
      </c>
      <c r="E33" s="49"/>
      <c r="F33" s="28"/>
    </row>
    <row r="34" spans="1:6" s="19" customFormat="1" ht="51" customHeight="1">
      <c r="A34" s="47"/>
      <c r="B34" s="16" t="s">
        <v>108</v>
      </c>
      <c r="C34" s="94" t="s">
        <v>145</v>
      </c>
      <c r="D34" s="17">
        <f>+(D8+D17+D24+0)*10%</f>
        <v>23850000</v>
      </c>
      <c r="E34" s="96"/>
      <c r="F34" s="18"/>
    </row>
    <row r="35" spans="1:6" s="19" customFormat="1" ht="33.75" customHeight="1">
      <c r="A35" s="47"/>
      <c r="B35" s="16"/>
      <c r="C35" s="20"/>
      <c r="D35" s="17"/>
      <c r="E35" s="96"/>
      <c r="F35" s="18"/>
    </row>
    <row r="36" spans="1:6" s="19" customFormat="1" ht="33.75" customHeight="1">
      <c r="A36" s="78"/>
      <c r="B36" s="79"/>
      <c r="C36" s="80"/>
      <c r="D36" s="81"/>
      <c r="E36" s="83"/>
      <c r="F36" s="82"/>
    </row>
    <row r="37" spans="2:4" ht="16.5">
      <c r="B37" s="39"/>
      <c r="D37" s="41"/>
    </row>
    <row r="41" spans="2:4" ht="16.5">
      <c r="B41" s="7"/>
      <c r="D41" s="40"/>
    </row>
  </sheetData>
  <sheetProtection/>
  <mergeCells count="17">
    <mergeCell ref="A1:E1"/>
    <mergeCell ref="A2:E2"/>
    <mergeCell ref="A3:E3"/>
    <mergeCell ref="F5:F6"/>
    <mergeCell ref="B5:B6"/>
    <mergeCell ref="C5:C6"/>
    <mergeCell ref="D5:D6"/>
    <mergeCell ref="A5:A6"/>
    <mergeCell ref="E5:E6"/>
    <mergeCell ref="E21:E23"/>
    <mergeCell ref="E18:E20"/>
    <mergeCell ref="F11:F12"/>
    <mergeCell ref="E25:E32"/>
    <mergeCell ref="F9:F10"/>
    <mergeCell ref="E9:E10"/>
    <mergeCell ref="E11:E12"/>
    <mergeCell ref="E13:E16"/>
  </mergeCells>
  <printOptions/>
  <pageMargins left="0.35" right="0.28" top="0.28" bottom="0.26" header="0.3" footer="0.3"/>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G40"/>
  <sheetViews>
    <sheetView workbookViewId="0" topLeftCell="A46">
      <selection activeCell="E25" sqref="E25:E32"/>
    </sheetView>
  </sheetViews>
  <sheetFormatPr defaultColWidth="8.88671875" defaultRowHeight="16.5"/>
  <cols>
    <col min="1" max="1" width="4.21484375" style="45" customWidth="1"/>
    <col min="2" max="2" width="26.4453125" style="4" customWidth="1"/>
    <col min="3" max="3" width="31.4453125" style="5" customWidth="1"/>
    <col min="4" max="4" width="14.6640625" style="13" customWidth="1"/>
    <col min="5" max="5" width="21.88671875" style="0" customWidth="1"/>
    <col min="6" max="6" width="21.21484375" style="0" customWidth="1"/>
  </cols>
  <sheetData>
    <row r="1" spans="1:6" ht="26.25" customHeight="1">
      <c r="A1" s="187" t="s">
        <v>7</v>
      </c>
      <c r="B1" s="187"/>
      <c r="C1" s="187"/>
      <c r="D1" s="187"/>
      <c r="E1" s="187"/>
      <c r="F1" s="43"/>
    </row>
    <row r="2" spans="1:7" s="6" customFormat="1" ht="26.25" customHeight="1">
      <c r="A2" s="188" t="s">
        <v>109</v>
      </c>
      <c r="B2" s="188"/>
      <c r="C2" s="188"/>
      <c r="D2" s="188"/>
      <c r="E2" s="188"/>
      <c r="F2" s="131" t="s">
        <v>155</v>
      </c>
      <c r="G2" s="6"/>
    </row>
    <row r="3" spans="1:6" s="6" customFormat="1" ht="24" customHeight="1">
      <c r="A3" s="189" t="s">
        <v>138</v>
      </c>
      <c r="B3" s="189"/>
      <c r="C3" s="189"/>
      <c r="D3" s="189"/>
      <c r="E3" s="189"/>
      <c r="F3" s="129"/>
    </row>
    <row r="4" spans="3:7" ht="26.25" customHeight="1">
      <c r="C4" s="125"/>
      <c r="D4" s="125"/>
      <c r="E4" s="9"/>
      <c r="F4" s="9" t="s">
        <v>29</v>
      </c>
    </row>
    <row r="5" spans="1:7" ht="36.75" customHeight="1">
      <c r="A5" s="119" t="s">
        <v>0</v>
      </c>
      <c r="B5" s="119" t="s">
        <v>44</v>
      </c>
      <c r="C5" s="122" t="s">
        <v>4</v>
      </c>
      <c r="D5" s="123"/>
      <c r="E5" s="190" t="s">
        <v>8</v>
      </c>
      <c r="F5" s="124" t="s">
        <v>2</v>
      </c>
    </row>
    <row r="6" spans="1:6" ht="29.25" customHeight="1">
      <c r="A6" s="120"/>
      <c r="B6" s="121"/>
      <c r="C6" s="1" t="s">
        <v>5</v>
      </c>
      <c r="D6" s="14" t="s">
        <v>3</v>
      </c>
      <c r="E6" s="191"/>
      <c r="F6" s="2"/>
    </row>
    <row r="7" spans="1:7" s="143" customFormat="1" ht="36.75" customHeight="1">
      <c r="A7" s="140"/>
      <c r="B7" s="133" t="s">
        <v>39</v>
      </c>
      <c r="C7" s="1"/>
      <c r="D7" s="14">
        <f>+D8+D17+D24+D33</f>
        <v>253550000</v>
      </c>
      <c r="E7" s="2"/>
      <c r="F7" s="2"/>
      <c r="G7" s="142"/>
    </row>
    <row r="8" spans="1:7" s="32" customFormat="1" ht="55.5" customHeight="1">
      <c r="A8" s="140" t="s">
        <v>1</v>
      </c>
      <c r="B8" s="141" t="s">
        <v>19</v>
      </c>
      <c r="C8" s="1"/>
      <c r="D8" s="14">
        <f>+D9+D10+D11+D12+D13+D14</f>
        <v>55500000</v>
      </c>
      <c r="E8" s="2"/>
      <c r="F8" s="2"/>
      <c r="G8" s="142"/>
    </row>
    <row r="9" spans="1:7" s="19" customFormat="1" ht="43.5" customHeight="1">
      <c r="A9" s="76" t="s">
        <v>9</v>
      </c>
      <c r="B9" s="16" t="s">
        <v>151</v>
      </c>
      <c r="C9" s="20" t="s">
        <v>111</v>
      </c>
      <c r="D9" s="17">
        <f>1500000*2*5</f>
        <v>15000000</v>
      </c>
      <c r="E9" s="185" t="s">
        <v>162</v>
      </c>
      <c r="F9" s="185" t="s">
        <v>159</v>
      </c>
      <c r="G9" s="19"/>
    </row>
    <row r="10" spans="1:6" s="19" customFormat="1" ht="135" customHeight="1">
      <c r="A10" s="76" t="s">
        <v>10</v>
      </c>
      <c r="B10" s="16" t="s">
        <v>152</v>
      </c>
      <c r="C10" s="20" t="s">
        <v>112</v>
      </c>
      <c r="D10" s="17">
        <f>1000000*2*5</f>
        <v>10000000</v>
      </c>
      <c r="E10" s="186"/>
      <c r="F10" s="148"/>
    </row>
    <row r="11" spans="1:7" s="84" customFormat="1" ht="76.5" customHeight="1">
      <c r="A11" s="76" t="s">
        <v>11</v>
      </c>
      <c r="B11" s="16" t="s">
        <v>17</v>
      </c>
      <c r="C11" s="20" t="s">
        <v>149</v>
      </c>
      <c r="D11" s="77">
        <f>6*150000</f>
        <v>900000</v>
      </c>
      <c r="E11" s="155" t="s">
        <v>35</v>
      </c>
      <c r="F11" s="16" t="s">
        <v>32</v>
      </c>
      <c r="G11" s="84"/>
    </row>
    <row r="12" spans="1:7" s="19" customFormat="1" ht="79.5" customHeight="1">
      <c r="A12" s="132" t="s">
        <v>12</v>
      </c>
      <c r="B12" s="16" t="s">
        <v>18</v>
      </c>
      <c r="C12" s="26" t="s">
        <v>113</v>
      </c>
      <c r="D12" s="17">
        <f>300000*6*2</f>
        <v>3600000</v>
      </c>
      <c r="E12" s="156"/>
      <c r="F12" s="16" t="s">
        <v>30</v>
      </c>
      <c r="G12" s="19"/>
    </row>
    <row r="13" spans="1:6" s="9" customFormat="1" ht="56.25" customHeight="1">
      <c r="A13" s="76" t="s">
        <v>13</v>
      </c>
      <c r="B13" s="10" t="s">
        <v>77</v>
      </c>
      <c r="C13" s="36" t="s">
        <v>93</v>
      </c>
      <c r="D13" s="37">
        <f>1000000*6</f>
        <v>6000000</v>
      </c>
      <c r="E13" s="153" t="s">
        <v>34</v>
      </c>
      <c r="F13" s="38"/>
    </row>
    <row r="14" spans="1:6" ht="33.75" customHeight="1">
      <c r="A14" s="76" t="s">
        <v>14</v>
      </c>
      <c r="B14" s="10" t="s">
        <v>31</v>
      </c>
      <c r="C14" s="12"/>
      <c r="D14" s="15">
        <f>+D15+D16</f>
        <v>20000000</v>
      </c>
      <c r="E14" s="154"/>
      <c r="F14" s="3"/>
    </row>
    <row r="15" spans="1:6" s="25" customFormat="1" ht="33.75" customHeight="1">
      <c r="A15" s="48"/>
      <c r="B15" s="21" t="s">
        <v>33</v>
      </c>
      <c r="C15" s="22" t="s">
        <v>94</v>
      </c>
      <c r="D15" s="23">
        <f>8000000*2</f>
        <v>16000000</v>
      </c>
      <c r="E15" s="154"/>
      <c r="F15" s="24"/>
    </row>
    <row r="16" spans="1:6" s="25" customFormat="1" ht="77.25" customHeight="1">
      <c r="A16" s="48"/>
      <c r="B16" s="21" t="s">
        <v>46</v>
      </c>
      <c r="C16" s="22" t="s">
        <v>95</v>
      </c>
      <c r="D16" s="23">
        <v>4000000</v>
      </c>
      <c r="E16" s="144"/>
      <c r="F16" s="24"/>
    </row>
    <row r="17" spans="1:6" s="32" customFormat="1" ht="39.75" customHeight="1">
      <c r="A17" s="49" t="s">
        <v>6</v>
      </c>
      <c r="B17" s="29" t="s">
        <v>20</v>
      </c>
      <c r="C17" s="30"/>
      <c r="D17" s="31">
        <f>+SUM(D18:D23)</f>
        <v>44000000</v>
      </c>
      <c r="E17" s="28"/>
      <c r="F17" s="28"/>
    </row>
    <row r="18" spans="1:6" s="108" customFormat="1" ht="69.75" customHeight="1">
      <c r="A18" s="109" t="s">
        <v>9</v>
      </c>
      <c r="B18" s="106" t="s">
        <v>45</v>
      </c>
      <c r="C18" s="110" t="s">
        <v>134</v>
      </c>
      <c r="D18" s="107">
        <f>20000*6*40</f>
        <v>4800000</v>
      </c>
      <c r="E18" s="197" t="s">
        <v>164</v>
      </c>
      <c r="F18" s="106" t="s">
        <v>36</v>
      </c>
    </row>
    <row r="19" spans="1:6" s="108" customFormat="1" ht="40.5" customHeight="1">
      <c r="A19" s="109" t="s">
        <v>10</v>
      </c>
      <c r="B19" s="106" t="s">
        <v>122</v>
      </c>
      <c r="C19" s="110" t="s">
        <v>137</v>
      </c>
      <c r="D19" s="107">
        <f>20000*5*80</f>
        <v>8000000</v>
      </c>
      <c r="E19" s="197"/>
      <c r="F19" s="111"/>
    </row>
    <row r="20" spans="1:6" s="108" customFormat="1" ht="42.75" customHeight="1">
      <c r="A20" s="109" t="s">
        <v>11</v>
      </c>
      <c r="B20" s="106" t="s">
        <v>40</v>
      </c>
      <c r="C20" s="127" t="s">
        <v>135</v>
      </c>
      <c r="D20" s="107">
        <f>40000*80</f>
        <v>3200000</v>
      </c>
      <c r="E20" s="197"/>
      <c r="F20" s="106"/>
    </row>
    <row r="21" spans="1:6" s="19" customFormat="1" ht="81" customHeight="1">
      <c r="A21" s="47" t="s">
        <v>12</v>
      </c>
      <c r="B21" s="16" t="s">
        <v>96</v>
      </c>
      <c r="C21" s="20" t="s">
        <v>114</v>
      </c>
      <c r="D21" s="17">
        <f>150000*80</f>
        <v>12000000</v>
      </c>
      <c r="E21" s="147" t="s">
        <v>161</v>
      </c>
      <c r="F21" s="18"/>
    </row>
    <row r="22" spans="1:6" s="19" customFormat="1" ht="44.25" customHeight="1">
      <c r="A22" s="47" t="s">
        <v>13</v>
      </c>
      <c r="B22" s="16" t="s">
        <v>22</v>
      </c>
      <c r="C22" s="20" t="s">
        <v>97</v>
      </c>
      <c r="D22" s="17">
        <v>10000000</v>
      </c>
      <c r="E22" s="147"/>
      <c r="F22" s="18"/>
    </row>
    <row r="23" spans="1:6" s="19" customFormat="1" ht="76.5" customHeight="1">
      <c r="A23" s="47" t="s">
        <v>14</v>
      </c>
      <c r="B23" s="16" t="s">
        <v>37</v>
      </c>
      <c r="C23" s="20" t="s">
        <v>115</v>
      </c>
      <c r="D23" s="17">
        <f>200000*30</f>
        <v>6000000</v>
      </c>
      <c r="E23" s="147"/>
      <c r="F23" s="16" t="s">
        <v>38</v>
      </c>
    </row>
    <row r="24" spans="1:6" s="32" customFormat="1" ht="33.75" customHeight="1">
      <c r="A24" s="49" t="s">
        <v>28</v>
      </c>
      <c r="B24" s="29" t="s">
        <v>98</v>
      </c>
      <c r="C24" s="30"/>
      <c r="D24" s="31">
        <f>+SUM(D25:D32)</f>
        <v>131000000</v>
      </c>
      <c r="E24" s="28"/>
      <c r="F24" s="28"/>
    </row>
    <row r="25" spans="1:6" s="19" customFormat="1" ht="58.5" customHeight="1">
      <c r="A25" s="47" t="s">
        <v>11</v>
      </c>
      <c r="B25" s="16" t="s">
        <v>43</v>
      </c>
      <c r="C25" s="20" t="s">
        <v>116</v>
      </c>
      <c r="D25" s="77">
        <f>5*8000000</f>
        <v>40000000</v>
      </c>
      <c r="E25" s="145" t="s">
        <v>160</v>
      </c>
      <c r="F25" s="18" t="s">
        <v>34</v>
      </c>
    </row>
    <row r="26" spans="1:6" s="19" customFormat="1" ht="37.5" customHeight="1">
      <c r="A26" s="47" t="s">
        <v>12</v>
      </c>
      <c r="B26" s="16" t="s">
        <v>41</v>
      </c>
      <c r="C26" s="20" t="s">
        <v>131</v>
      </c>
      <c r="D26" s="17">
        <f>150000*2*60</f>
        <v>18000000</v>
      </c>
      <c r="E26" s="146"/>
      <c r="F26" s="16" t="s">
        <v>102</v>
      </c>
    </row>
    <row r="27" spans="1:6" s="19" customFormat="1" ht="48" customHeight="1">
      <c r="A27" s="47" t="s">
        <v>13</v>
      </c>
      <c r="B27" s="16" t="s">
        <v>21</v>
      </c>
      <c r="C27" s="20" t="s">
        <v>123</v>
      </c>
      <c r="D27" s="17">
        <f>20000*10*60</f>
        <v>12000000</v>
      </c>
      <c r="E27" s="146"/>
      <c r="F27" s="16" t="s">
        <v>102</v>
      </c>
    </row>
    <row r="28" spans="1:6" s="19" customFormat="1" ht="39.75" customHeight="1">
      <c r="A28" s="47" t="s">
        <v>14</v>
      </c>
      <c r="B28" s="16" t="s">
        <v>23</v>
      </c>
      <c r="C28" s="20" t="s">
        <v>118</v>
      </c>
      <c r="D28" s="17">
        <f>100000*80</f>
        <v>8000000</v>
      </c>
      <c r="E28" s="146"/>
      <c r="F28" s="126" t="s">
        <v>34</v>
      </c>
    </row>
    <row r="29" spans="1:6" s="19" customFormat="1" ht="41.25" customHeight="1">
      <c r="A29" s="47" t="s">
        <v>15</v>
      </c>
      <c r="B29" s="16" t="s">
        <v>24</v>
      </c>
      <c r="C29" s="20" t="s">
        <v>119</v>
      </c>
      <c r="D29" s="17">
        <f>500000*80</f>
        <v>40000000</v>
      </c>
      <c r="E29" s="146"/>
      <c r="F29" s="92"/>
    </row>
    <row r="30" spans="1:6" s="19" customFormat="1" ht="39" customHeight="1">
      <c r="A30" s="47" t="s">
        <v>16</v>
      </c>
      <c r="B30" s="16" t="s">
        <v>42</v>
      </c>
      <c r="C30" s="20" t="s">
        <v>105</v>
      </c>
      <c r="D30" s="17">
        <v>8000000</v>
      </c>
      <c r="E30" s="146"/>
      <c r="F30" s="92"/>
    </row>
    <row r="31" spans="1:6" s="19" customFormat="1" ht="42.75" customHeight="1">
      <c r="A31" s="47" t="s">
        <v>78</v>
      </c>
      <c r="B31" s="16" t="s">
        <v>25</v>
      </c>
      <c r="C31" s="20" t="s">
        <v>95</v>
      </c>
      <c r="D31" s="17">
        <v>4000000</v>
      </c>
      <c r="E31" s="146"/>
      <c r="F31" s="92"/>
    </row>
    <row r="32" spans="1:6" s="19" customFormat="1" ht="42.75" customHeight="1">
      <c r="A32" s="47" t="s">
        <v>15</v>
      </c>
      <c r="B32" s="16" t="s">
        <v>26</v>
      </c>
      <c r="C32" s="20" t="s">
        <v>106</v>
      </c>
      <c r="D32" s="17">
        <v>1000000</v>
      </c>
      <c r="E32" s="146"/>
      <c r="F32" s="93"/>
    </row>
    <row r="33" spans="1:6" s="32" customFormat="1" ht="42.75" customHeight="1">
      <c r="A33" s="49" t="s">
        <v>107</v>
      </c>
      <c r="B33" s="29" t="s">
        <v>27</v>
      </c>
      <c r="C33" s="30"/>
      <c r="D33" s="31">
        <f>+D34</f>
        <v>23050000</v>
      </c>
      <c r="E33" s="49"/>
      <c r="F33" s="98"/>
    </row>
    <row r="34" spans="1:6" s="19" customFormat="1" ht="51" customHeight="1">
      <c r="A34" s="47"/>
      <c r="B34" s="16" t="s">
        <v>108</v>
      </c>
      <c r="C34" s="94" t="s">
        <v>146</v>
      </c>
      <c r="D34" s="17">
        <f>+(D8+D17+D24)*10%</f>
        <v>23050000</v>
      </c>
      <c r="E34" s="96"/>
      <c r="F34" s="18"/>
    </row>
    <row r="35" spans="1:6" s="19" customFormat="1" ht="33.75" customHeight="1">
      <c r="A35" s="78"/>
      <c r="B35" s="79"/>
      <c r="C35" s="80"/>
      <c r="D35" s="81"/>
      <c r="E35" s="83"/>
      <c r="F35" s="82"/>
    </row>
    <row r="36" spans="2:4" ht="16.5">
      <c r="B36" s="39"/>
      <c r="D36" s="41"/>
    </row>
    <row r="40" spans="2:4" ht="16.5">
      <c r="B40" s="7"/>
      <c r="D40" s="40"/>
    </row>
  </sheetData>
  <sheetProtection/>
  <mergeCells count="11">
    <mergeCell ref="A1:E1"/>
    <mergeCell ref="A2:E2"/>
    <mergeCell ref="A3:E3"/>
    <mergeCell ref="E21:E23"/>
    <mergeCell ref="E18:E20"/>
    <mergeCell ref="F9:F10"/>
    <mergeCell ref="E25:E32"/>
    <mergeCell ref="E5:E6"/>
    <mergeCell ref="E9:E10"/>
    <mergeCell ref="E11:E12"/>
    <mergeCell ref="E13:E16"/>
  </mergeCells>
  <printOptions/>
  <pageMargins left="0.17" right="0.18" top="0.3" bottom="0.17" header="0.3" footer="0.28"/>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G35"/>
  <sheetViews>
    <sheetView tabSelected="1" zoomScale="78" zoomScaleNormal="78" workbookViewId="0" topLeftCell="A1">
      <selection activeCell="E14" sqref="E14:E16"/>
    </sheetView>
  </sheetViews>
  <sheetFormatPr defaultColWidth="8.88671875" defaultRowHeight="16.5"/>
  <cols>
    <col min="1" max="1" width="4.21484375" style="45" customWidth="1"/>
    <col min="2" max="2" width="30.3359375" style="4" customWidth="1"/>
    <col min="3" max="3" width="37.10546875" style="5" customWidth="1"/>
    <col min="4" max="4" width="16.10546875" style="52" customWidth="1"/>
    <col min="5" max="5" width="25.10546875" style="0" customWidth="1"/>
    <col min="6" max="6" width="16.5546875" style="0" customWidth="1"/>
  </cols>
  <sheetData>
    <row r="1" spans="3:7" ht="26.25" customHeight="1">
      <c r="C1" s="43" t="s">
        <v>7</v>
      </c>
      <c r="F1" s="130" t="s">
        <v>156</v>
      </c>
    </row>
    <row r="2" spans="1:6" s="6" customFormat="1" ht="27" customHeight="1">
      <c r="A2" s="27"/>
      <c r="B2" s="188" t="s">
        <v>89</v>
      </c>
      <c r="C2" s="188"/>
      <c r="D2" s="188"/>
      <c r="E2" s="188"/>
      <c r="F2" s="188"/>
    </row>
    <row r="3" spans="1:6" s="6" customFormat="1" ht="27" customHeight="1">
      <c r="A3" s="27"/>
      <c r="B3" s="189" t="s">
        <v>47</v>
      </c>
      <c r="C3" s="189"/>
      <c r="D3" s="189"/>
      <c r="E3" s="189"/>
      <c r="F3" s="189"/>
    </row>
    <row r="4" spans="5:7" ht="26.25" customHeight="1">
      <c r="E4" s="9"/>
      <c r="F4" s="9" t="s">
        <v>29</v>
      </c>
    </row>
    <row r="5" spans="1:7" ht="29.25" customHeight="1">
      <c r="A5" s="192" t="s">
        <v>0</v>
      </c>
      <c r="B5" s="192" t="s">
        <v>44</v>
      </c>
      <c r="C5" s="200" t="s">
        <v>4</v>
      </c>
      <c r="D5" s="201"/>
      <c r="E5" s="190" t="s">
        <v>8</v>
      </c>
      <c r="F5" s="190" t="s">
        <v>2</v>
      </c>
    </row>
    <row r="6" spans="1:6" ht="18" customHeight="1">
      <c r="A6" s="198"/>
      <c r="B6" s="199"/>
      <c r="C6" s="1" t="s">
        <v>143</v>
      </c>
      <c r="D6" s="14" t="s">
        <v>3</v>
      </c>
      <c r="E6" s="191"/>
      <c r="F6" s="191"/>
    </row>
    <row r="7" spans="1:7" s="27" customFormat="1" ht="26.25" customHeight="1">
      <c r="A7" s="34"/>
      <c r="B7" s="35" t="s">
        <v>39</v>
      </c>
      <c r="C7" s="1"/>
      <c r="D7" s="14">
        <f>+D8+D10+D17+D25</f>
        <v>634040000</v>
      </c>
      <c r="E7" s="2"/>
      <c r="F7" s="2"/>
      <c r="G7" s="42"/>
    </row>
    <row r="8" spans="1:7" s="8" customFormat="1" ht="55.5" customHeight="1">
      <c r="A8" s="54" t="s">
        <v>1</v>
      </c>
      <c r="B8" s="11" t="s">
        <v>56</v>
      </c>
      <c r="C8" s="55"/>
      <c r="D8" s="56">
        <f>+SUM(D9:D9)</f>
        <v>190800000</v>
      </c>
      <c r="E8" s="57"/>
      <c r="F8" s="57"/>
      <c r="G8" s="58"/>
    </row>
    <row r="9" spans="1:7" s="19" customFormat="1" ht="192.75" customHeight="1">
      <c r="A9" s="46" t="s">
        <v>9</v>
      </c>
      <c r="B9" s="16" t="s">
        <v>121</v>
      </c>
      <c r="C9" s="20" t="s">
        <v>139</v>
      </c>
      <c r="D9" s="53">
        <v>190800000</v>
      </c>
      <c r="E9" s="51" t="s">
        <v>166</v>
      </c>
      <c r="F9" s="51" t="s">
        <v>80</v>
      </c>
      <c r="G9" s="19"/>
    </row>
    <row r="10" spans="1:6" s="32" customFormat="1" ht="26.25" customHeight="1">
      <c r="A10" s="49" t="s">
        <v>6</v>
      </c>
      <c r="B10" s="29" t="s">
        <v>20</v>
      </c>
      <c r="C10" s="30"/>
      <c r="D10" s="31">
        <f>+SUM(D11:D16)</f>
        <v>164600000</v>
      </c>
      <c r="E10" s="28"/>
      <c r="F10" s="28"/>
    </row>
    <row r="11" spans="1:6" s="84" customFormat="1" ht="88.5" customHeight="1">
      <c r="A11" s="47" t="s">
        <v>9</v>
      </c>
      <c r="B11" s="16" t="s">
        <v>58</v>
      </c>
      <c r="C11" s="26" t="s">
        <v>128</v>
      </c>
      <c r="D11" s="77">
        <f>20000*90*40</f>
        <v>72000000</v>
      </c>
      <c r="E11" s="145" t="s">
        <v>150</v>
      </c>
      <c r="F11" s="185"/>
    </row>
    <row r="12" spans="1:6" s="84" customFormat="1" ht="60.75" customHeight="1">
      <c r="A12" s="47" t="s">
        <v>10</v>
      </c>
      <c r="B12" s="16" t="s">
        <v>45</v>
      </c>
      <c r="C12" s="26" t="s">
        <v>128</v>
      </c>
      <c r="D12" s="77">
        <f>20000*90*40</f>
        <v>72000000</v>
      </c>
      <c r="E12" s="146"/>
      <c r="F12" s="147"/>
    </row>
    <row r="13" spans="1:6" s="84" customFormat="1" ht="56.25" customHeight="1">
      <c r="A13" s="47" t="s">
        <v>11</v>
      </c>
      <c r="B13" s="16" t="s">
        <v>40</v>
      </c>
      <c r="C13" s="20" t="s">
        <v>130</v>
      </c>
      <c r="D13" s="77">
        <f>40000*40</f>
        <v>1600000</v>
      </c>
      <c r="E13" s="203"/>
      <c r="F13" s="148"/>
    </row>
    <row r="14" spans="1:6" s="19" customFormat="1" ht="41.25" customHeight="1">
      <c r="A14" s="47" t="s">
        <v>12</v>
      </c>
      <c r="B14" s="16" t="s">
        <v>129</v>
      </c>
      <c r="C14" s="20" t="s">
        <v>126</v>
      </c>
      <c r="D14" s="53">
        <f>150000*40</f>
        <v>6000000</v>
      </c>
      <c r="E14" s="185" t="s">
        <v>161</v>
      </c>
      <c r="F14" s="18"/>
    </row>
    <row r="15" spans="1:6" s="19" customFormat="1" ht="57.75" customHeight="1">
      <c r="A15" s="47" t="s">
        <v>13</v>
      </c>
      <c r="B15" s="16" t="s">
        <v>57</v>
      </c>
      <c r="C15" s="20" t="s">
        <v>124</v>
      </c>
      <c r="D15" s="53">
        <v>10000000</v>
      </c>
      <c r="E15" s="147"/>
      <c r="F15" s="18"/>
    </row>
    <row r="16" spans="1:7" s="19" customFormat="1" ht="96" customHeight="1">
      <c r="A16" s="47" t="s">
        <v>14</v>
      </c>
      <c r="B16" s="16" t="s">
        <v>37</v>
      </c>
      <c r="C16" s="20" t="s">
        <v>100</v>
      </c>
      <c r="D16" s="53">
        <f>200000*15</f>
        <v>3000000</v>
      </c>
      <c r="E16" s="148"/>
      <c r="F16" s="16" t="s">
        <v>38</v>
      </c>
      <c r="G16" s="19"/>
    </row>
    <row r="17" spans="1:6" s="32" customFormat="1" ht="33.75" customHeight="1">
      <c r="A17" s="49" t="s">
        <v>28</v>
      </c>
      <c r="B17" s="29" t="s">
        <v>125</v>
      </c>
      <c r="C17" s="30"/>
      <c r="D17" s="31">
        <f>+SUM(D18:D24)</f>
        <v>221000000</v>
      </c>
      <c r="E17" s="28"/>
      <c r="F17" s="28"/>
    </row>
    <row r="18" spans="1:6" s="84" customFormat="1" ht="48" customHeight="1">
      <c r="A18" s="47" t="s">
        <v>9</v>
      </c>
      <c r="B18" s="16" t="s">
        <v>59</v>
      </c>
      <c r="C18" s="20" t="s">
        <v>81</v>
      </c>
      <c r="D18" s="77">
        <f>30000000*1</f>
        <v>30000000</v>
      </c>
      <c r="E18" s="202" t="s">
        <v>34</v>
      </c>
      <c r="F18" s="33"/>
    </row>
    <row r="19" spans="1:6" s="19" customFormat="1" ht="48" customHeight="1">
      <c r="A19" s="47" t="s">
        <v>10</v>
      </c>
      <c r="B19" s="16" t="s">
        <v>136</v>
      </c>
      <c r="C19" s="20" t="s">
        <v>131</v>
      </c>
      <c r="D19" s="53">
        <f>150000*2*60</f>
        <v>18000000</v>
      </c>
      <c r="E19" s="154"/>
      <c r="F19" s="18"/>
    </row>
    <row r="20" spans="1:6" s="19" customFormat="1" ht="48" customHeight="1">
      <c r="A20" s="47" t="s">
        <v>11</v>
      </c>
      <c r="B20" s="16" t="s">
        <v>21</v>
      </c>
      <c r="C20" s="20" t="s">
        <v>82</v>
      </c>
      <c r="D20" s="53">
        <f>20000*180*40</f>
        <v>144000000</v>
      </c>
      <c r="E20" s="154"/>
      <c r="F20" s="18"/>
    </row>
    <row r="21" spans="1:6" s="19" customFormat="1" ht="48" customHeight="1">
      <c r="A21" s="47" t="s">
        <v>12</v>
      </c>
      <c r="B21" s="16" t="s">
        <v>23</v>
      </c>
      <c r="C21" s="20" t="s">
        <v>83</v>
      </c>
      <c r="D21" s="53">
        <f>100000*40</f>
        <v>4000000</v>
      </c>
      <c r="E21" s="154"/>
      <c r="F21" s="18"/>
    </row>
    <row r="22" spans="1:6" s="19" customFormat="1" ht="48" customHeight="1">
      <c r="A22" s="47" t="s">
        <v>13</v>
      </c>
      <c r="B22" s="16" t="s">
        <v>42</v>
      </c>
      <c r="C22" s="20" t="s">
        <v>84</v>
      </c>
      <c r="D22" s="53">
        <f>15000000*1</f>
        <v>15000000</v>
      </c>
      <c r="E22" s="154"/>
      <c r="F22" s="18"/>
    </row>
    <row r="23" spans="1:6" s="19" customFormat="1" ht="48" customHeight="1">
      <c r="A23" s="47" t="s">
        <v>14</v>
      </c>
      <c r="B23" s="16" t="s">
        <v>25</v>
      </c>
      <c r="C23" s="20" t="s">
        <v>85</v>
      </c>
      <c r="D23" s="53">
        <v>8000000</v>
      </c>
      <c r="E23" s="154"/>
      <c r="F23" s="18"/>
    </row>
    <row r="24" spans="1:6" s="19" customFormat="1" ht="48" customHeight="1">
      <c r="A24" s="47" t="s">
        <v>15</v>
      </c>
      <c r="B24" s="16" t="s">
        <v>26</v>
      </c>
      <c r="C24" s="20" t="s">
        <v>86</v>
      </c>
      <c r="D24" s="53">
        <v>2000000</v>
      </c>
      <c r="E24" s="144"/>
      <c r="F24" s="18"/>
    </row>
    <row r="25" spans="1:6" s="32" customFormat="1" ht="42.75" customHeight="1">
      <c r="A25" s="49" t="s">
        <v>107</v>
      </c>
      <c r="B25" s="29" t="s">
        <v>27</v>
      </c>
      <c r="C25" s="30"/>
      <c r="D25" s="31">
        <f>+D26</f>
        <v>57640000</v>
      </c>
      <c r="E25" s="49"/>
      <c r="F25" s="28"/>
    </row>
    <row r="26" spans="1:6" s="19" customFormat="1" ht="51" customHeight="1">
      <c r="A26" s="47">
        <v>1</v>
      </c>
      <c r="B26" s="16" t="s">
        <v>108</v>
      </c>
      <c r="C26" s="94" t="s">
        <v>142</v>
      </c>
      <c r="D26" s="17">
        <f>+(D17+D10+D8)*10%</f>
        <v>57640000</v>
      </c>
      <c r="E26" s="96"/>
      <c r="F26" s="18"/>
    </row>
    <row r="28" spans="2:4" ht="16.5">
      <c r="B28" s="39"/>
      <c r="D28" s="41"/>
    </row>
    <row r="34" ht="16.5">
      <c r="B34" s="7"/>
    </row>
    <row r="35" spans="2:4" ht="16.5">
      <c r="B35" s="7"/>
      <c r="D35" s="40"/>
    </row>
  </sheetData>
  <sheetProtection/>
  <mergeCells count="11">
    <mergeCell ref="E14:E16"/>
    <mergeCell ref="E18:E24"/>
    <mergeCell ref="B2:F2"/>
    <mergeCell ref="B3:F3"/>
    <mergeCell ref="F11:F13"/>
    <mergeCell ref="E11:E13"/>
    <mergeCell ref="A5:A6"/>
    <mergeCell ref="B5:B6"/>
    <mergeCell ref="C5:D5"/>
    <mergeCell ref="F5:F6"/>
    <mergeCell ref="E5:E6"/>
  </mergeCells>
  <printOptions/>
  <pageMargins left="0.38" right="0.19" top="0.2" bottom="0.2" header="0.2" footer="0.2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2019-07-31T08:39:26Z</cp:lastPrinted>
  <dcterms:created xsi:type="dcterms:W3CDTF">2009-09-23T07:41:18Z</dcterms:created>
  <dcterms:modified xsi:type="dcterms:W3CDTF">2019-08-10T04:50:09Z</dcterms:modified>
  <cp:category/>
  <cp:version/>
  <cp:contentType/>
  <cp:contentStatus/>
</cp:coreProperties>
</file>