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415" windowHeight="6090" firstSheet="7" activeTab="7"/>
  </bookViews>
  <sheets>
    <sheet name="PAC MA" sheetId="1" state="hidden" r:id="rId1"/>
    <sheet name="KHUAT XA" sheetId="2" state="hidden" r:id="rId2"/>
    <sheet name="PO HANG" sheetId="3" state="hidden" r:id="rId3"/>
    <sheet name="NA LONG" sheetId="4" state="hidden" r:id="rId4"/>
    <sheet name="1" sheetId="5" state="hidden" r:id="rId5"/>
    <sheet name="2" sheetId="6" state="hidden" r:id="rId6"/>
    <sheet name="3" sheetId="7" state="hidden" r:id="rId7"/>
    <sheet name="Bang tong den bu" sheetId="8" r:id="rId8"/>
    <sheet name="NOI DI" sheetId="9" r:id="rId9"/>
    <sheet name="NOI DEN" sheetId="10" r:id="rId10"/>
    <sheet name="HT NA TAU" sheetId="11" state="hidden" r:id="rId11"/>
    <sheet name="HT KHUAT XA" sheetId="12" state="hidden" r:id="rId12"/>
    <sheet name="HT POHANG" sheetId="13" state="hidden" r:id="rId13"/>
    <sheet name="HT NA LOONG" sheetId="14" state="hidden" r:id="rId14"/>
    <sheet name="Sheet1" sheetId="15" state="hidden" r:id="rId15"/>
  </sheets>
  <definedNames/>
  <calcPr fullCalcOnLoad="1"/>
  <oleSize ref="A1:K20"/>
</workbook>
</file>

<file path=xl/comments9.xml><?xml version="1.0" encoding="utf-8"?>
<comments xmlns="http://schemas.openxmlformats.org/spreadsheetml/2006/main">
  <authors>
    <author>User</author>
  </authors>
  <commentList>
    <comment ref="B66" authorId="0">
      <text>
        <r>
          <rPr>
            <b/>
            <sz val="8"/>
            <rFont val="Tahoma"/>
            <family val="0"/>
          </rPr>
          <t>Giá cuối năm 2014</t>
        </r>
      </text>
    </comment>
    <comment ref="B73" authorId="0">
      <text>
        <r>
          <rPr>
            <b/>
            <sz val="8"/>
            <rFont val="Tahoma"/>
            <family val="0"/>
          </rPr>
          <t>QĐ16-UBND/2015</t>
        </r>
      </text>
    </comment>
    <comment ref="B83" authorId="0">
      <text>
        <r>
          <rPr>
            <b/>
            <sz val="8"/>
            <rFont val="Tahoma"/>
            <family val="0"/>
          </rPr>
          <t xml:space="preserve">Giá năm 2012 (Chưa có mới)
</t>
        </r>
      </text>
    </comment>
    <comment ref="G64" authorId="0">
      <text>
        <r>
          <rPr>
            <b/>
            <sz val="8"/>
            <rFont val="Tahoma"/>
            <family val="2"/>
          </rPr>
          <t>Đã tính 5 hộ tại khu TĐC)</t>
        </r>
      </text>
    </comment>
    <comment ref="E63" authorId="0">
      <text>
        <r>
          <rPr>
            <b/>
            <sz val="8"/>
            <rFont val="Tahoma"/>
            <family val="0"/>
          </rPr>
          <t>thôn Bản Lải, Pò Ngòa xã Khuất Xá, thôn Tằm Hán, Pò Choong xã Tĩnh Bắc</t>
        </r>
      </text>
    </comment>
    <comment ref="G63" authorId="0">
      <text>
        <r>
          <rPr>
            <b/>
            <sz val="8"/>
            <rFont val="Tahoma"/>
            <family val="0"/>
          </rPr>
          <t xml:space="preserve">Thôn Bản Hu, Tằm Pất, Bản Quyêng  xã Tĩnh Bắc </t>
        </r>
      </text>
    </comment>
    <comment ref="I63" authorId="0">
      <text>
        <r>
          <rPr>
            <sz val="8"/>
            <rFont val="Tahoma"/>
            <family val="0"/>
          </rPr>
          <t xml:space="preserve">thôn Thôn Pò Phát, Nà Táng, Khẩu Nưa xã Bính Xá 
</t>
        </r>
      </text>
    </comment>
    <comment ref="K63" authorId="0">
      <text>
        <r>
          <rPr>
            <sz val="8"/>
            <rFont val="Tahoma"/>
            <family val="0"/>
          </rPr>
          <t xml:space="preserve">các  thôn Thôn Pò Háng, Bản Xả, Nà Loòng  xã Bính Xá 
</t>
        </r>
      </text>
    </comment>
    <comment ref="C90" authorId="0">
      <text>
        <r>
          <rPr>
            <b/>
            <sz val="8"/>
            <rFont val="Tahoma"/>
            <family val="2"/>
          </rPr>
          <t>Tạm lấy theo đất rừng</t>
        </r>
      </text>
    </comment>
    <comment ref="C91" authorId="0">
      <text>
        <r>
          <rPr>
            <sz val="8"/>
            <rFont val="Tahoma"/>
            <family val="2"/>
          </rPr>
          <t xml:space="preserve">
Tạm lấy theo đất rừng</t>
        </r>
      </text>
    </comment>
    <comment ref="C92" authorId="0">
      <text>
        <r>
          <rPr>
            <sz val="8"/>
            <rFont val="Tahoma"/>
            <family val="2"/>
          </rPr>
          <t xml:space="preserve">
Tạm lấy theo đất rừng</t>
        </r>
      </text>
    </comment>
    <comment ref="E96" authorId="0">
      <text>
        <r>
          <rPr>
            <b/>
            <sz val="8"/>
            <rFont val="Tahoma"/>
            <family val="0"/>
          </rPr>
          <t>thôn Bản Lải, Pò Ngòa xã Khuất Xá, thôn Tằm Hán, Pò Choong xã Tĩnh Bắc</t>
        </r>
      </text>
    </comment>
    <comment ref="G96" authorId="0">
      <text>
        <r>
          <rPr>
            <b/>
            <sz val="8"/>
            <rFont val="Tahoma"/>
            <family val="0"/>
          </rPr>
          <t xml:space="preserve">Thôn Bản Hu, Tằm Pất, Bản Quyêng  xã Tĩnh Bắc </t>
        </r>
      </text>
    </comment>
    <comment ref="I96" authorId="0">
      <text>
        <r>
          <rPr>
            <sz val="8"/>
            <rFont val="Tahoma"/>
            <family val="0"/>
          </rPr>
          <t xml:space="preserve">thôn Thôn Pò Phát, Nà Táng, Khẩu Nưa xã Bính Xá 
</t>
        </r>
      </text>
    </comment>
    <comment ref="K96" authorId="0">
      <text>
        <r>
          <rPr>
            <sz val="8"/>
            <rFont val="Tahoma"/>
            <family val="0"/>
          </rPr>
          <t xml:space="preserve">các  thôn Thôn Pò Háng, Bản Xả, Nà Loòng  xã Bính Xá 
</t>
        </r>
      </text>
    </comment>
    <comment ref="G97" authorId="0">
      <text>
        <r>
          <rPr>
            <b/>
            <sz val="8"/>
            <rFont val="Tahoma"/>
            <family val="2"/>
          </rPr>
          <t>Đã tính 5 hộ tại khu TĐC)</t>
        </r>
      </text>
    </comment>
    <comment ref="B98" authorId="0">
      <text>
        <r>
          <rPr>
            <b/>
            <sz val="8"/>
            <rFont val="Tahoma"/>
            <family val="0"/>
          </rPr>
          <t>QĐ 64 và Dự thảo cơ chế đặc thù)</t>
        </r>
      </text>
    </comment>
    <comment ref="C112" authorId="0">
      <text>
        <r>
          <rPr>
            <b/>
            <sz val="8"/>
            <rFont val="Tahoma"/>
            <family val="2"/>
          </rPr>
          <t>Đơn giá tỉnh</t>
        </r>
      </text>
    </comment>
    <comment ref="B114" authorId="0">
      <text>
        <r>
          <rPr>
            <b/>
            <sz val="8"/>
            <rFont val="Tahoma"/>
            <family val="2"/>
          </rPr>
          <t>QĐ tại QĐ12-UBND tỉnh</t>
        </r>
      </text>
    </comment>
    <comment ref="B115" authorId="0">
      <text>
        <r>
          <rPr>
            <b/>
            <sz val="8"/>
            <rFont val="Tahoma"/>
            <family val="2"/>
          </rPr>
          <t>Điều 7 QĐ 64</t>
        </r>
      </text>
    </comment>
    <comment ref="E3" authorId="0">
      <text>
        <r>
          <rPr>
            <b/>
            <sz val="8"/>
            <rFont val="Tahoma"/>
            <family val="0"/>
          </rPr>
          <t>thôn Bản Lải, Pò Ngòa xã Khuất Xá, thôn Tằm Hán, Pò Choong xã Tĩnh Bắc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Thôn Bản Hu, Tằm Pất, Bản Quyêng  xã Tĩnh Bắc </t>
        </r>
      </text>
    </comment>
    <comment ref="I3" authorId="0">
      <text>
        <r>
          <rPr>
            <sz val="8"/>
            <rFont val="Tahoma"/>
            <family val="0"/>
          </rPr>
          <t xml:space="preserve">thôn Thôn Pò Phát, Nà Táng, Khẩu Nưa xã Bính Xá 
</t>
        </r>
      </text>
    </comment>
    <comment ref="K3" authorId="0">
      <text>
        <r>
          <rPr>
            <sz val="8"/>
            <rFont val="Tahoma"/>
            <family val="0"/>
          </rPr>
          <t xml:space="preserve">các  thôn Thôn Pò Háng, Bản Xả, Nà Loòng  xã Bính Xá 
</t>
        </r>
      </text>
    </comment>
    <comment ref="G4" authorId="0">
      <text>
        <r>
          <rPr>
            <b/>
            <sz val="8"/>
            <rFont val="Tahoma"/>
            <family val="2"/>
          </rPr>
          <t>Đã tính 5 hộ tại khu TĐC)</t>
        </r>
      </text>
    </comment>
    <comment ref="B6" authorId="0">
      <text>
        <r>
          <rPr>
            <b/>
            <sz val="8"/>
            <rFont val="Tahoma"/>
            <family val="0"/>
          </rPr>
          <t>Giá cuối năm 2014</t>
        </r>
      </text>
    </comment>
    <comment ref="B13" authorId="0">
      <text>
        <r>
          <rPr>
            <b/>
            <sz val="8"/>
            <rFont val="Tahoma"/>
            <family val="0"/>
          </rPr>
          <t>QĐ16-UBND/2015</t>
        </r>
      </text>
    </comment>
    <comment ref="B23" authorId="0">
      <text>
        <r>
          <rPr>
            <b/>
            <sz val="8"/>
            <rFont val="Tahoma"/>
            <family val="0"/>
          </rPr>
          <t xml:space="preserve">Giá năm 2012 (Chưa có mới)
</t>
        </r>
      </text>
    </comment>
    <comment ref="C30" authorId="0">
      <text>
        <r>
          <rPr>
            <b/>
            <sz val="8"/>
            <rFont val="Tahoma"/>
            <family val="2"/>
          </rPr>
          <t>Tạm lấy theo đất rừng</t>
        </r>
      </text>
    </comment>
    <comment ref="C31" authorId="0">
      <text>
        <r>
          <rPr>
            <sz val="8"/>
            <rFont val="Tahoma"/>
            <family val="2"/>
          </rPr>
          <t xml:space="preserve">
Tạm lấy theo đất rừng</t>
        </r>
      </text>
    </comment>
    <comment ref="C32" authorId="0">
      <text>
        <r>
          <rPr>
            <sz val="8"/>
            <rFont val="Tahoma"/>
            <family val="2"/>
          </rPr>
          <t xml:space="preserve">
Tạm lấy theo đất rừng</t>
        </r>
      </text>
    </comment>
    <comment ref="B33" authorId="0">
      <text>
        <r>
          <rPr>
            <b/>
            <sz val="8"/>
            <rFont val="Tahoma"/>
            <family val="0"/>
          </rPr>
          <t>QĐ 64 và Dự thảo cơ chế đặc thù)</t>
        </r>
      </text>
    </comment>
    <comment ref="C47" authorId="0">
      <text>
        <r>
          <rPr>
            <b/>
            <sz val="8"/>
            <rFont val="Tahoma"/>
            <family val="2"/>
          </rPr>
          <t>Đơn giá tỉnh</t>
        </r>
      </text>
    </comment>
    <comment ref="B49" authorId="0">
      <text>
        <r>
          <rPr>
            <b/>
            <sz val="8"/>
            <rFont val="Tahoma"/>
            <family val="2"/>
          </rPr>
          <t>QĐ tại QĐ12-UBND tỉnh</t>
        </r>
      </text>
    </comment>
    <comment ref="B50" authorId="0">
      <text>
        <r>
          <rPr>
            <b/>
            <sz val="8"/>
            <rFont val="Tahoma"/>
            <family val="2"/>
          </rPr>
          <t>Điều 7 QĐ 64</t>
        </r>
      </text>
    </comment>
    <comment ref="E129" authorId="0">
      <text>
        <r>
          <rPr>
            <b/>
            <sz val="8"/>
            <rFont val="Tahoma"/>
            <family val="0"/>
          </rPr>
          <t>thôn Bản Lải, Pò Ngòa xã Khuất Xá, thôn Tằm Hán, Pò Choong xã Tĩnh Bắc</t>
        </r>
      </text>
    </comment>
    <comment ref="G129" authorId="0">
      <text>
        <r>
          <rPr>
            <b/>
            <sz val="8"/>
            <rFont val="Tahoma"/>
            <family val="0"/>
          </rPr>
          <t xml:space="preserve">Thôn Bản Hu, Tằm Pất, Bản Quyêng  xã Tĩnh Bắc </t>
        </r>
      </text>
    </comment>
    <comment ref="I129" authorId="0">
      <text>
        <r>
          <rPr>
            <sz val="8"/>
            <rFont val="Tahoma"/>
            <family val="0"/>
          </rPr>
          <t xml:space="preserve">thôn Thôn Pò Phát, Nà Táng, Khẩu Nưa xã Bính Xá 
</t>
        </r>
      </text>
    </comment>
    <comment ref="K129" authorId="0">
      <text>
        <r>
          <rPr>
            <sz val="8"/>
            <rFont val="Tahoma"/>
            <family val="0"/>
          </rPr>
          <t xml:space="preserve">các  thôn Thôn Pò Háng, Bản Xả, Nà Loòng  xã Bính Xá 
</t>
        </r>
      </text>
    </comment>
    <comment ref="G130" authorId="0">
      <text>
        <r>
          <rPr>
            <b/>
            <sz val="8"/>
            <rFont val="Tahoma"/>
            <family val="2"/>
          </rPr>
          <t>Đã tính 5 hộ tại khu TĐC)</t>
        </r>
      </text>
    </comment>
    <comment ref="B131" authorId="0">
      <text>
        <r>
          <rPr>
            <b/>
            <sz val="8"/>
            <rFont val="Tahoma"/>
            <family val="0"/>
          </rPr>
          <t>QĐ 64 và Dự thảo cơ chế đặc thù)</t>
        </r>
      </text>
    </comment>
    <comment ref="C143" authorId="0">
      <text>
        <r>
          <rPr>
            <b/>
            <sz val="8"/>
            <rFont val="Tahoma"/>
            <family val="2"/>
          </rPr>
          <t>Đơn giá tỉnh</t>
        </r>
      </text>
    </comment>
    <comment ref="B144" authorId="0">
      <text>
        <r>
          <rPr>
            <b/>
            <sz val="8"/>
            <rFont val="Tahoma"/>
            <family val="2"/>
          </rPr>
          <t>QĐ tại QĐ12-UBND tỉnh</t>
        </r>
      </text>
    </comment>
    <comment ref="B145" authorId="0">
      <text>
        <r>
          <rPr>
            <b/>
            <sz val="8"/>
            <rFont val="Tahoma"/>
            <family val="2"/>
          </rPr>
          <t>Điều 7 QĐ 64</t>
        </r>
      </text>
    </comment>
    <comment ref="E153" authorId="0">
      <text>
        <r>
          <rPr>
            <b/>
            <sz val="8"/>
            <rFont val="Tahoma"/>
            <family val="0"/>
          </rPr>
          <t>thôn Bản Lải, Pò Ngòa xã Khuất Xá, thôn Tằm Hán, Pò Choong xã Tĩnh Bắc</t>
        </r>
      </text>
    </comment>
    <comment ref="G153" authorId="0">
      <text>
        <r>
          <rPr>
            <b/>
            <sz val="8"/>
            <rFont val="Tahoma"/>
            <family val="0"/>
          </rPr>
          <t xml:space="preserve">Thôn Bản Hu, Tằm Pất, Bản Quyêng  xã Tĩnh Bắc </t>
        </r>
      </text>
    </comment>
    <comment ref="I153" authorId="0">
      <text>
        <r>
          <rPr>
            <sz val="8"/>
            <rFont val="Tahoma"/>
            <family val="0"/>
          </rPr>
          <t xml:space="preserve">thôn Thôn Pò Phát, Nà Táng, Khẩu Nưa xã Bính Xá 
</t>
        </r>
      </text>
    </comment>
    <comment ref="K153" authorId="0">
      <text>
        <r>
          <rPr>
            <sz val="8"/>
            <rFont val="Tahoma"/>
            <family val="0"/>
          </rPr>
          <t xml:space="preserve">các  thôn Thôn Pò Háng, Bản Xả, Nà Loòng  xã Bính Xá 
</t>
        </r>
      </text>
    </comment>
    <comment ref="G154" authorId="0">
      <text>
        <r>
          <rPr>
            <b/>
            <sz val="8"/>
            <rFont val="Tahoma"/>
            <family val="2"/>
          </rPr>
          <t>Đã tính 5 hộ tại khu TĐC)</t>
        </r>
      </text>
    </comment>
    <comment ref="B155" authorId="0">
      <text>
        <r>
          <rPr>
            <b/>
            <sz val="8"/>
            <rFont val="Tahoma"/>
            <family val="0"/>
          </rPr>
          <t>QĐ 64 và Dự thảo cơ chế đặc thù)</t>
        </r>
      </text>
    </comment>
  </commentList>
</comments>
</file>

<file path=xl/sharedStrings.xml><?xml version="1.0" encoding="utf-8"?>
<sst xmlns="http://schemas.openxmlformats.org/spreadsheetml/2006/main" count="1481" uniqueCount="288">
  <si>
    <t>TT</t>
  </si>
  <si>
    <t>Hạng mục</t>
  </si>
  <si>
    <t>Tổng vốn đầu tư (Triệu)</t>
  </si>
  <si>
    <t>I</t>
  </si>
  <si>
    <t>Xây dựng cơ sở hạ tầng</t>
  </si>
  <si>
    <t>Kết cấu hạ tầng xã hội</t>
  </si>
  <si>
    <t>San nền</t>
  </si>
  <si>
    <t>Giao thông</t>
  </si>
  <si>
    <t>Điện</t>
  </si>
  <si>
    <t>Cấp nước Khu TĐC</t>
  </si>
  <si>
    <t>Thoát nước bản vả VSMT</t>
  </si>
  <si>
    <t>Tổng</t>
  </si>
  <si>
    <t>II</t>
  </si>
  <si>
    <t xml:space="preserve">Bồi thường </t>
  </si>
  <si>
    <t>Bồi thường đất và tài sản, vật kiến trúc đầu đi</t>
  </si>
  <si>
    <t xml:space="preserve">Bồi thường đất và  tài sản, vật kiến trúc đầu đến </t>
  </si>
  <si>
    <t>III</t>
  </si>
  <si>
    <t>Hỗ trợ TĐC</t>
  </si>
  <si>
    <t>Tổng cộng</t>
  </si>
  <si>
    <t>Câp Điện</t>
  </si>
  <si>
    <t>Thoát nước bẩn vả VSMT</t>
  </si>
  <si>
    <t>Số TT</t>
  </si>
  <si>
    <t>Đơn vị</t>
  </si>
  <si>
    <t>Tổng vốn đầu tư XDHT</t>
  </si>
  <si>
    <t>A</t>
  </si>
  <si>
    <t>CHI PHÍ ĐẦU TƯ HT-KT, HT-XH</t>
  </si>
  <si>
    <r>
      <t>Điểm TĐC thôn Pắc Mạ, Nà Tàu xã Yên Khoái huyện Lộc Binh</t>
    </r>
    <r>
      <rPr>
        <sz val="12"/>
        <color indexed="10"/>
        <rFont val=".VnTime"/>
        <family val="2"/>
      </rPr>
      <t> </t>
    </r>
  </si>
  <si>
    <t>Tr</t>
  </si>
  <si>
    <t>Điểm TĐC thôn Pắn Pé xã Khuất Xá huyện Lộc Binh </t>
  </si>
  <si>
    <t>Điểm TĐC thôn Pò Háng xã Bính Xá huyện Đình Lập( tiểu khu 11,18,20,22) </t>
  </si>
  <si>
    <t>IV</t>
  </si>
  <si>
    <t>Điểm TĐC thôn Nà Loòng xã Bính Xá huyện Đình Lập( tiểu khu 42, 43, 44, 45, 46, 47, 48) </t>
  </si>
  <si>
    <t xml:space="preserve"> Tổng chi phí xây dựng hạ tâng cơ sở TĐC </t>
  </si>
  <si>
    <t>B</t>
  </si>
  <si>
    <t xml:space="preserve"> CHI PHÍ BỒI THƯỜNG GiẢI PHÓNG MẶT BẰNG </t>
  </si>
  <si>
    <t>Điểm TĐC thôn Pắc Mạ, Nà Tàu xã Yên Khoái huyện Lộc Binh</t>
  </si>
  <si>
    <t>Điểm TĐC thôn Pắn Pé xã Khuất Xá huyện Lộc Binh</t>
  </si>
  <si>
    <t>Điểm TĐC thôn Pò Háng xã Bính Xá huyện Đình Lập( tiểu khu 11,18,20,22)</t>
  </si>
  <si>
    <t>Điểm TĐC thôn Nà Loòng xã Bính Xá huyện Đình Lập( tiểu khu 42, 43, 44, 45, 46, 47, 48)</t>
  </si>
  <si>
    <t>C</t>
  </si>
  <si>
    <t xml:space="preserve"> CHI PHÍ HỖ TRỢ TĐC </t>
  </si>
  <si>
    <t>D</t>
  </si>
  <si>
    <t>E</t>
  </si>
  <si>
    <t>Giai đoạn đầu</t>
  </si>
  <si>
    <t>Giai đoạn sau</t>
  </si>
  <si>
    <r>
      <t>Điểm TĐC thôn Pắc Mạ, Nà Tàu xã Yên Khoái huyện Lộc Binh</t>
    </r>
    <r>
      <rPr>
        <sz val="12"/>
        <color indexed="10"/>
        <rFont val="Times New Roman"/>
        <family val="1"/>
      </rPr>
      <t> </t>
    </r>
  </si>
  <si>
    <t>Nội dung</t>
  </si>
  <si>
    <t>Bồi thường giá trị về đất</t>
  </si>
  <si>
    <t>Bồi thường về đất ở</t>
  </si>
  <si>
    <t>Bồi thường về đất trồng lúa</t>
  </si>
  <si>
    <t>Bồi thường về đất trồng cây hàng năm</t>
  </si>
  <si>
    <t>Bồi thường về đất trồng cây lâu năm</t>
  </si>
  <si>
    <t>Bồi thường về đất rừng sản xuất</t>
  </si>
  <si>
    <t>Bồi thường đất nuôi trồng thủy sản</t>
  </si>
  <si>
    <t>Bồi thường tài sản trên đất</t>
  </si>
  <si>
    <t>Nhà loại 3D</t>
  </si>
  <si>
    <t>Nhà lều quán</t>
  </si>
  <si>
    <t>Sân bê tông</t>
  </si>
  <si>
    <t>Cây cối hoa màu</t>
  </si>
  <si>
    <t>Bồi thường về cây lúa</t>
  </si>
  <si>
    <t>Cây ăn quả các loại ( cây mận )</t>
  </si>
  <si>
    <t>Cây tre</t>
  </si>
  <si>
    <t>Cây hồi</t>
  </si>
  <si>
    <t>HỖ TRỢ TĐC</t>
  </si>
  <si>
    <t>Hỗ trợ ổn định đời sống</t>
  </si>
  <si>
    <t>hỗ trợ về y tế (hỗ trợ 1 lần)</t>
  </si>
  <si>
    <t>hỗ trợ về giáo dục ( hỗ trợ 1 lần)</t>
  </si>
  <si>
    <t>Hỗ trợ sản xuất</t>
  </si>
  <si>
    <t>hộ tái định cư ( khai hoang ruộng)</t>
  </si>
  <si>
    <t>Hỗ trợ khác</t>
  </si>
  <si>
    <t>Hỗ trợ  kinh phí làm thủ tục dời nhà cũ, nhận nhà mới</t>
  </si>
  <si>
    <t>Hỗ trợ khuyến khích di chuyển theo tiến độ (UBND tỉnh QĐ)</t>
  </si>
  <si>
    <t>hỗ trợ di chuyển mồ mả</t>
  </si>
  <si>
    <t>Hỗ trợ di chuyển trong phạm vi tỉnh</t>
  </si>
  <si>
    <t xml:space="preserve">HỖ TRỢ SAU TĐC </t>
  </si>
  <si>
    <t>Hỗ trợ chuyển đổi cây trồng, vật nuôi</t>
  </si>
  <si>
    <t>Hỗ trợ bảo vệ và phát triển rừng</t>
  </si>
  <si>
    <t>Khối lượng</t>
  </si>
  <si>
    <t>Đơn giá</t>
  </si>
  <si>
    <t>Thành tiền</t>
  </si>
  <si>
    <t>Kw</t>
  </si>
  <si>
    <t>kg</t>
  </si>
  <si>
    <t>hỗ trợ tiền sử dụng điện thắp sáng (1 năm) 50KW/ tháng</t>
  </si>
  <si>
    <t>hỗ trợ chất đốt 12 tháng 5l dầu hỏa hộ/ tháng</t>
  </si>
  <si>
    <t>Lít</t>
  </si>
  <si>
    <t>ha</t>
  </si>
  <si>
    <t>mộ</t>
  </si>
  <si>
    <t>Hỗ trợ xây nhà ở (15m2 người thứ 1 người tiếp 5m2 trong 1 hộ)</t>
  </si>
  <si>
    <t xml:space="preserve">Hỗ trợ mua giống gia cầm </t>
  </si>
  <si>
    <t xml:space="preserve">Mua giống </t>
  </si>
  <si>
    <t>hộ</t>
  </si>
  <si>
    <t>m2</t>
  </si>
  <si>
    <t>bộ</t>
  </si>
  <si>
    <t>cây</t>
  </si>
  <si>
    <t>md</t>
  </si>
  <si>
    <t>giếng</t>
  </si>
  <si>
    <t>Hỗ trợ về lương thực (30kg gạo: x30x48 tháng/khẩu)</t>
  </si>
  <si>
    <t xml:space="preserve">KV di đến điểm thôn Nà Loòng  </t>
  </si>
  <si>
    <t xml:space="preserve">KV di đến điểm thôn Pắc Mạ </t>
  </si>
  <si>
    <t>Cây lâm nghiệp thông (DTx2000 cây/Ha) tính 75% diện tích</t>
  </si>
  <si>
    <t>Mộ</t>
  </si>
  <si>
    <t>1 mộ</t>
  </si>
  <si>
    <t xml:space="preserve">KV di đến điểm thôn Pắn Pé </t>
  </si>
  <si>
    <t xml:space="preserve">KV di đến điểm thôn Pò Háng </t>
  </si>
  <si>
    <t>Hỗ trợ thu hồi đất ruộng</t>
  </si>
  <si>
    <t>BỒI THƯỜNG DIỆN TÍCH LÒNG HỒ</t>
  </si>
  <si>
    <t xml:space="preserve">Nhà tường trình </t>
  </si>
  <si>
    <t xml:space="preserve">Bồi thường về cây hoa màu </t>
  </si>
  <si>
    <t xml:space="preserve">Đường ống cấp nước </t>
  </si>
  <si>
    <t xml:space="preserve">Nhà bếp </t>
  </si>
  <si>
    <t xml:space="preserve">Cây lâm nghiệp thông </t>
  </si>
  <si>
    <t>F</t>
  </si>
  <si>
    <t>STT</t>
  </si>
  <si>
    <t>Hạng mục công trình</t>
  </si>
  <si>
    <t>Đơn vị tính</t>
  </si>
  <si>
    <t>Đơn giá (1000 đồng)</t>
  </si>
  <si>
    <t>Thành tiền ( 1000đồng)</t>
  </si>
  <si>
    <t xml:space="preserve">Đào đất cấp II </t>
  </si>
  <si>
    <t>m3</t>
  </si>
  <si>
    <t xml:space="preserve">Đào đất cấp III </t>
  </si>
  <si>
    <t>San đầm mặt bằng K=0.95</t>
  </si>
  <si>
    <t>Vận chuyển đất cấp II( đổ đi)</t>
  </si>
  <si>
    <t>Vận chuyển đất cấp III(để đắp)</t>
  </si>
  <si>
    <t>Tổng xây lắp trưước thuế</t>
  </si>
  <si>
    <t>Thuế VAT</t>
  </si>
  <si>
    <t>Xây lắp sau thuế</t>
  </si>
  <si>
    <t>GIAO THONG</t>
  </si>
  <si>
    <t>Đường khu dân cư TĐC</t>
  </si>
  <si>
    <t>m</t>
  </si>
  <si>
    <t>Tuyến số 1</t>
  </si>
  <si>
    <t>Tuyến số 2</t>
  </si>
  <si>
    <t>Tuyến số 3</t>
  </si>
  <si>
    <t>Tuyến số 4</t>
  </si>
  <si>
    <t>Tuyến số 5</t>
  </si>
  <si>
    <t>Tuyến số 6</t>
  </si>
  <si>
    <t>Đường dẫn vào khu ở TĐC</t>
  </si>
  <si>
    <t>Tuyến 1</t>
  </si>
  <si>
    <t>Tuyến 2</t>
  </si>
  <si>
    <t>Đường đến khu sản xuất</t>
  </si>
  <si>
    <t>Đường dẫn đến đồng</t>
  </si>
  <si>
    <t>Giá trị xây lắp trước thuế</t>
  </si>
  <si>
    <t>V</t>
  </si>
  <si>
    <t>Thuế GTGT</t>
  </si>
  <si>
    <t>Xây lắp sau thuế (a)</t>
  </si>
  <si>
    <t>CAP NUOC</t>
  </si>
  <si>
    <t>Ống cấp nước (thép) D75</t>
  </si>
  <si>
    <t>Ống cấp nước (HDPE-PN10) D75</t>
  </si>
  <si>
    <t>Ống cấp nước (HDPE-PN10) D50</t>
  </si>
  <si>
    <t>Ống cấp nước (HDPE-PN10) D32</t>
  </si>
  <si>
    <t>Phụ tùng van khoá</t>
  </si>
  <si>
    <t>%</t>
  </si>
  <si>
    <t>Hố van</t>
  </si>
  <si>
    <t>Cái</t>
  </si>
  <si>
    <t>Công trình thu và bể xử lý</t>
  </si>
  <si>
    <t>Bể chứa nước sạch</t>
  </si>
  <si>
    <t>Trạm bơm cấp nước (55m3/ngđêm)</t>
  </si>
  <si>
    <t>Trạm</t>
  </si>
  <si>
    <t>Cộng xây lắp trước thuế</t>
  </si>
  <si>
    <t>Tổng cộng sau thuế</t>
  </si>
  <si>
    <t>THOAT NUOC</t>
  </si>
  <si>
    <t>Đơn giá (1000đồng)</t>
  </si>
  <si>
    <t xml:space="preserve">Thành tiền (1000 đồng)             </t>
  </si>
  <si>
    <t>Mương B600 (đi trên vỉa hè)</t>
  </si>
  <si>
    <t>Mương B600 (đi ngang đường)</t>
  </si>
  <si>
    <t>Mương B400 (đi trên vỉa hè)</t>
  </si>
  <si>
    <t>Mương B400 (đi ngang đường)</t>
  </si>
  <si>
    <t>Cống BTLT D300</t>
  </si>
  <si>
    <t>Hố ga (1,44x1,44)m</t>
  </si>
  <si>
    <t>Mương xả B600</t>
  </si>
  <si>
    <t>Xe đẩy thu gom chất thải</t>
  </si>
  <si>
    <t>Thùng đựng chất thải</t>
  </si>
  <si>
    <t>CAP DIEN</t>
  </si>
  <si>
    <t>Thành tiền (1000đồng)</t>
  </si>
  <si>
    <t>Xây dựng trạm biến áp400kva- 35/0,4kv</t>
  </si>
  <si>
    <t>Kva</t>
  </si>
  <si>
    <t>Xây dựng đường dây hạ thế 0,4kv kết hợp chiếu sáng đường phố</t>
  </si>
  <si>
    <t>km</t>
  </si>
  <si>
    <t>Xây dựng đường dây 35kvtừ điểm đấu nối tới trạm biến áp</t>
  </si>
  <si>
    <t>Cộng chi phí XL trước thuế</t>
  </si>
  <si>
    <t>SAN NEN</t>
  </si>
  <si>
    <t>Khối lư­ợng</t>
  </si>
  <si>
    <t>Đơn giá (1000đ)</t>
  </si>
  <si>
    <t>Thành tiền (1000đ)</t>
  </si>
  <si>
    <t>Tổng xây lắp tr­ước thuế</t>
  </si>
  <si>
    <t>m3 </t>
  </si>
  <si>
    <t>Tuyến số 7</t>
  </si>
  <si>
    <t>Tuyến số 8</t>
  </si>
  <si>
    <t>Tuyến số 9</t>
  </si>
  <si>
    <t>Tuyến số 10</t>
  </si>
  <si>
    <t>Đường phục vụ sản xuất</t>
  </si>
  <si>
    <t>Đơn giá (1000 đ)</t>
  </si>
  <si>
    <t>ống cấp nước (HDPE-PN16) D90</t>
  </si>
  <si>
    <t>ống cấp nước (HDPE-PN10) D90</t>
  </si>
  <si>
    <t>ống cấp nước (HDPE-PN10) D75</t>
  </si>
  <si>
    <t>ống cấp nước (HDPE-PN10) D50</t>
  </si>
  <si>
    <t>ống cấp nước (HDPE-PN10) D32</t>
  </si>
  <si>
    <t>Trạm xử lý nước cấp (109m3/ng.đ)</t>
  </si>
  <si>
    <t xml:space="preserve"> trạm</t>
  </si>
  <si>
    <t>Thành tiền (1000 đ)</t>
  </si>
  <si>
    <t>DIEN</t>
  </si>
  <si>
    <t>Tuyến chiếu sáng xây mới</t>
  </si>
  <si>
    <t>Tuyến 0.4kv xây mới</t>
  </si>
  <si>
    <t>Tuyến 35kV nhánh rẽ vào trạm</t>
  </si>
  <si>
    <t>TBA số 1   35/0,4 -180 KVA xây mới</t>
  </si>
  <si>
    <t>kva</t>
  </si>
  <si>
    <t>TBA số 2   35/0,4 -100 KVA xây mới</t>
  </si>
  <si>
    <t>Tủ điều khiển chiếu sáng 3x200A</t>
  </si>
  <si>
    <t>Tủ</t>
  </si>
  <si>
    <t>Tủ điều khiển hạ thế 3x300A</t>
  </si>
  <si>
    <t>Đèn cao áp đơn</t>
  </si>
  <si>
    <t>Bộ</t>
  </si>
  <si>
    <t>Cộng chi phí trước thuế</t>
  </si>
  <si>
    <t>Giá trị xây lắp sau thuế</t>
  </si>
  <si>
    <t>Vận chuyển đất cấp III(đổ đi)</t>
  </si>
  <si>
    <r>
      <t>m3</t>
    </r>
    <r>
      <rPr>
        <sz val="12"/>
        <rFont val="Arial"/>
        <family val="2"/>
      </rPr>
      <t> </t>
    </r>
  </si>
  <si>
    <t>Tuyến phục vụ sản xuất</t>
  </si>
  <si>
    <t>Tổng trước thuế</t>
  </si>
  <si>
    <t>Đơn giá( 1000đồng)</t>
  </si>
  <si>
    <t>Ống cấp nước (Thép) D75</t>
  </si>
  <si>
    <t>Đập đầu nguồn</t>
  </si>
  <si>
    <t xml:space="preserve">Thành tiền (1000đ)               </t>
  </si>
  <si>
    <t>TBA  35/0,4 -180 KVA xây mới</t>
  </si>
  <si>
    <t>Đơn giá ( 1000đ)</t>
  </si>
  <si>
    <t>Thành tiền ( 1000đ)</t>
  </si>
  <si>
    <r>
      <t>m3</t>
    </r>
    <r>
      <rPr>
        <sz val="12"/>
        <color indexed="8"/>
        <rFont val="Arial"/>
        <family val="2"/>
      </rPr>
      <t> </t>
    </r>
  </si>
  <si>
    <t>Tuyến số 6 (Sửa chữa)</t>
  </si>
  <si>
    <t>Tuyền đường phục vụ sản xuất</t>
  </si>
  <si>
    <t>Km</t>
  </si>
  <si>
    <t>Ống cấp nước ( thép) D75</t>
  </si>
  <si>
    <t>Trạm xử lý nước cấp 65m3/ng,đ</t>
  </si>
  <si>
    <t>Mương xả B400</t>
  </si>
  <si>
    <t>Tổng xây lắp trước thuế</t>
  </si>
  <si>
    <t>CHI PHÍ GiẢI PHÓNG MB( 2%B)</t>
  </si>
  <si>
    <t>CHI PHÍ KHÁC(5%(A+B+C))</t>
  </si>
  <si>
    <t>CHI PHÍ DỰ PHÒNG ((A+B+C+D+E)X5%)</t>
  </si>
  <si>
    <t>Điểm TĐC thôn Pò Háng xã Bính Xá huyện Đình Lập</t>
  </si>
  <si>
    <t>Điểm TĐC thôn Nà Loòng xã Bính Xá huyện Đình Lập</t>
  </si>
  <si>
    <t>TỔNG CỘNG (A+B+C+D+E+F)</t>
  </si>
  <si>
    <r>
      <t>CHI PHÍ ĐẦU TƯ HT-KT, HT-XH</t>
    </r>
    <r>
      <rPr>
        <sz val="12"/>
        <color indexed="30"/>
        <rFont val="Times New Roman"/>
        <family val="1"/>
      </rPr>
      <t> </t>
    </r>
  </si>
  <si>
    <r>
      <t>Điểm TĐC thôn Pắc Mạ, Nà Tàu xã Yên Khoái huyện Lộc Binh</t>
    </r>
    <r>
      <rPr>
        <sz val="12"/>
        <color indexed="30"/>
        <rFont val="Times New Roman"/>
        <family val="1"/>
      </rPr>
      <t>   </t>
    </r>
  </si>
  <si>
    <r>
      <t>Điểm TĐC thôn Pắn Pé xã Khuất Xá huyện Lộc Binh</t>
    </r>
    <r>
      <rPr>
        <sz val="12"/>
        <color indexed="30"/>
        <rFont val="Times New Roman"/>
        <family val="1"/>
      </rPr>
      <t> </t>
    </r>
  </si>
  <si>
    <r>
      <t xml:space="preserve"> CHI PHÍ BỒI THƯỜNG GiẢI PHÓNG MẶT BẰNG</t>
    </r>
    <r>
      <rPr>
        <sz val="12"/>
        <color indexed="30"/>
        <rFont val="Times New Roman"/>
        <family val="1"/>
      </rPr>
      <t>  </t>
    </r>
  </si>
  <si>
    <r>
      <t xml:space="preserve"> CHI PHÍ HỖ TRỢ TĐC </t>
    </r>
    <r>
      <rPr>
        <sz val="12"/>
        <color indexed="30"/>
        <rFont val="Times New Roman"/>
        <family val="1"/>
      </rPr>
      <t> </t>
    </r>
  </si>
  <si>
    <t>Hỗ trợ khoản1 điều11 QĐ64 (Tham quan)</t>
  </si>
  <si>
    <t>Hỗ trợ khoản4 điều11 QĐ64 (Tâm linh mồ mả)</t>
  </si>
  <si>
    <t>Hỗ trợ khoản 3 điều 6 QĐ 64</t>
  </si>
  <si>
    <t>Chưa X.Đ</t>
  </si>
  <si>
    <t>Hỗ trợ khoản 2 điều 8, Quyết định 64 (Họ tự di chuyển)</t>
  </si>
  <si>
    <t>Hỗ trợ điểmc khoản1 điều16 QĐ64 (Mua giống vật nuôi)</t>
  </si>
  <si>
    <t>Hỗ trợ điểmb khoản2 điều16 QĐ64 (Hỗ trợ trồng rừng SX)</t>
  </si>
  <si>
    <t>Hỗ trợ điểm a khoản 1 điều 10 QĐ64(Hỗ trợ tập huấn khuyến nông 3năm)</t>
  </si>
  <si>
    <t>1 lần5ngày</t>
  </si>
  <si>
    <t>MỨC HỖ TRỢ/HỘ TĐC</t>
  </si>
  <si>
    <t>BỒI THƯỜNG ĐẤT KÊNH MƯƠNG (Xã Khuất Xá, Tú đoạn)</t>
  </si>
  <si>
    <t>BỒI THƯỜNG BÃI VẬT LIỆU (Xã Khuất Xá)</t>
  </si>
  <si>
    <t>bỒI THƯỜNG ĐẤT ĐƯỜNG THI CÔNG</t>
  </si>
  <si>
    <t>G</t>
  </si>
  <si>
    <t>Biểu 02: BIỂU BỒI THƯỜNG VÀ HỖ TRỢ ĐiỂM TĐC</t>
  </si>
  <si>
    <t xml:space="preserve">KV TĐC thôn Pắc Mạ </t>
  </si>
  <si>
    <t xml:space="preserve">KV TĐC thôn Pắn Pé </t>
  </si>
  <si>
    <t xml:space="preserve">KV TĐC thôn Pò Háng </t>
  </si>
  <si>
    <t xml:space="preserve">KV TĐC thôn Nà Loòng  </t>
  </si>
  <si>
    <r>
      <t>Nhà loại 3C</t>
    </r>
    <r>
      <rPr>
        <i/>
        <sz val="12"/>
        <rFont val="Times New Roman"/>
        <family val="1"/>
      </rPr>
      <t xml:space="preserve"> (Trường học)</t>
    </r>
  </si>
  <si>
    <t xml:space="preserve">Giếng nước </t>
  </si>
  <si>
    <t>BIỂU TỔNG HỢP ĐỀN BÙ VÀ HỖ TRỢ TÁI ĐỊNH CƯ</t>
  </si>
  <si>
    <t>Khu vực di dân đến thôn Pắc Mạ (nơi đi)</t>
  </si>
  <si>
    <t>MỨC HỖ TRỢ TRUNG BÌNH CHO 01 HỘ</t>
  </si>
  <si>
    <t>TỔNG CỘNG BỒI THƯỜNG</t>
  </si>
  <si>
    <t>TỔNG CỘNG</t>
  </si>
  <si>
    <t>Biểu 01: BẢNG TỔNG BỒI THƯỜNG VÀ HỖ TRỢ</t>
  </si>
  <si>
    <t>Giá trị</t>
  </si>
  <si>
    <t>Trong đó</t>
  </si>
  <si>
    <t>Mức hỗ trợ trung bình cho 1 hộ theo QĐ64 và theo quy định của tỉnh</t>
  </si>
  <si>
    <t xml:space="preserve">Mức hỗ trợ trung bình cho 1 hộ theo QĐ64 </t>
  </si>
  <si>
    <t>Mức hỗ trợ trung bình cho 1 hộ theo quy định của tỉnh</t>
  </si>
  <si>
    <t>Biểu 01: BẢNG TÍNH GIÁ TRỊ ĐỀN BÙ CHƯA CÓ HỖ TRỢ</t>
  </si>
  <si>
    <t xml:space="preserve">Biểu 03: BẢNG TÍNH TỔNG HỖ TRỢ </t>
  </si>
  <si>
    <t>Biểu 04: BẢNG TÍNH HỖ TRỢ THEO QUYẾT ĐỊNH 64</t>
  </si>
  <si>
    <t>Biểu 05: BẢNG TÍNH HỖ TRỢ THEO QUY ĐỊNH CỦA TỈNH</t>
  </si>
  <si>
    <t>Tổng cộng bồi thường và hỗ trợ TCĐ cả nơi đi và đến</t>
  </si>
  <si>
    <t xml:space="preserve">Tỷ trọng % </t>
  </si>
  <si>
    <t>Giá trị bồi thường chưa có hỗ trợ cả nơi đi và đến</t>
  </si>
  <si>
    <t xml:space="preserve">Giá trị hỗ trợ theo QĐ64 và quy định của tỉnh, </t>
  </si>
  <si>
    <t>Trong đó:</t>
  </si>
  <si>
    <t xml:space="preserve"> - </t>
  </si>
  <si>
    <t xml:space="preserve"> -</t>
  </si>
  <si>
    <t>Giá trị hỗ trợ theo các quy định cứng tại quyết định 64/QĐ-TTg</t>
  </si>
  <si>
    <t>Giá trị hỗ trợ tính theo các quy đinh dự thảo Quyết định của tỉnh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</si>
</sst>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;[Red]#,##0.00"/>
    <numFmt numFmtId="181" formatCode="#,##0;[Red]#,##0"/>
    <numFmt numFmtId="182" formatCode="#,##0.0;[Red]#,##0.0"/>
    <numFmt numFmtId="183" formatCode="#,##0.000;[Red]#,##0.000"/>
    <numFmt numFmtId="184" formatCode="_-* #,##0.0\ _€_-;\-* #,##0.0\ _€_-;_-* &quot;-&quot;??\ _€_-;_-@_-"/>
    <numFmt numFmtId="185" formatCode="_-* #,##0\ _€_-;\-* #,##0\ _€_-;_-* &quot;-&quot;??\ _€_-;_-@_-"/>
    <numFmt numFmtId="186" formatCode="[$-409]h:mm:ss\ AM/PM"/>
    <numFmt numFmtId="187" formatCode="[$-409]dddd\,\ mmmm\ dd\,\ yyyy"/>
    <numFmt numFmtId="188" formatCode="&quot;$&quot;#,##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59"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0"/>
      <name val=".VnTime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.VnArial Narrow"/>
      <family val="2"/>
    </font>
    <font>
      <b/>
      <sz val="12"/>
      <color indexed="10"/>
      <name val=".VnTime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30"/>
      <name val="Times New Roman"/>
      <family val="1"/>
    </font>
    <font>
      <b/>
      <sz val="13"/>
      <color indexed="30"/>
      <name val="Times New Roman"/>
      <family val="1"/>
    </font>
    <font>
      <sz val="12"/>
      <color indexed="17"/>
      <name val="Times New Roman"/>
      <family val="1"/>
    </font>
    <font>
      <sz val="11"/>
      <name val="Calibri"/>
      <family val="2"/>
    </font>
    <font>
      <sz val="13"/>
      <color indexed="8"/>
      <name val=".VnTime"/>
      <family val="2"/>
    </font>
    <font>
      <b/>
      <sz val="11"/>
      <name val="Calibri"/>
      <family val="2"/>
    </font>
    <font>
      <sz val="12"/>
      <color indexed="17"/>
      <name val=".VnTime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.VnTime"/>
      <family val="2"/>
    </font>
    <font>
      <b/>
      <sz val="12"/>
      <color indexed="30"/>
      <name val="Times New Roman"/>
      <family val="1"/>
    </font>
    <font>
      <b/>
      <sz val="15"/>
      <color indexed="8"/>
      <name val="Times New Roman"/>
      <family val="1"/>
    </font>
    <font>
      <sz val="8"/>
      <name val="Tahoma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sz val="8"/>
      <name val="Calibri"/>
      <family val="2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29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justify"/>
    </xf>
    <xf numFmtId="0" fontId="29" fillId="0" borderId="12" xfId="0" applyFont="1" applyBorder="1" applyAlignment="1">
      <alignment horizontal="justify"/>
    </xf>
    <xf numFmtId="0" fontId="29" fillId="0" borderId="13" xfId="0" applyFont="1" applyBorder="1" applyAlignment="1">
      <alignment horizontal="justify"/>
    </xf>
    <xf numFmtId="0" fontId="29" fillId="0" borderId="13" xfId="0" applyFont="1" applyBorder="1" applyAlignment="1">
      <alignment horizontal="right" wrapText="1"/>
    </xf>
    <xf numFmtId="0" fontId="29" fillId="0" borderId="13" xfId="0" applyFont="1" applyBorder="1" applyAlignment="1">
      <alignment horizontal="right"/>
    </xf>
    <xf numFmtId="0" fontId="30" fillId="0" borderId="13" xfId="0" applyFont="1" applyBorder="1" applyAlignment="1">
      <alignment horizontal="justify"/>
    </xf>
    <xf numFmtId="181" fontId="30" fillId="0" borderId="13" xfId="0" applyNumberFormat="1" applyFont="1" applyBorder="1" applyAlignment="1">
      <alignment horizontal="right"/>
    </xf>
    <xf numFmtId="181" fontId="31" fillId="0" borderId="13" xfId="0" applyNumberFormat="1" applyFont="1" applyBorder="1" applyAlignment="1">
      <alignment horizontal="right"/>
    </xf>
    <xf numFmtId="181" fontId="29" fillId="0" borderId="13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29" fillId="0" borderId="14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justify" wrapText="1"/>
    </xf>
    <xf numFmtId="0" fontId="30" fillId="0" borderId="11" xfId="0" applyFont="1" applyBorder="1" applyAlignment="1">
      <alignment horizontal="center" wrapText="1"/>
    </xf>
    <xf numFmtId="0" fontId="30" fillId="0" borderId="12" xfId="0" applyFont="1" applyBorder="1" applyAlignment="1">
      <alignment horizontal="justify" wrapText="1"/>
    </xf>
    <xf numFmtId="0" fontId="29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3" fillId="0" borderId="12" xfId="0" applyFont="1" applyBorder="1" applyAlignment="1">
      <alignment horizontal="justify" wrapText="1"/>
    </xf>
    <xf numFmtId="0" fontId="34" fillId="0" borderId="11" xfId="0" applyFont="1" applyBorder="1" applyAlignment="1">
      <alignment horizontal="justify" wrapText="1"/>
    </xf>
    <xf numFmtId="0" fontId="35" fillId="0" borderId="13" xfId="0" applyFont="1" applyBorder="1" applyAlignment="1">
      <alignment horizontal="justify" wrapText="1"/>
    </xf>
    <xf numFmtId="0" fontId="1" fillId="0" borderId="13" xfId="0" applyFont="1" applyBorder="1" applyAlignment="1">
      <alignment horizontal="justify"/>
    </xf>
    <xf numFmtId="0" fontId="33" fillId="0" borderId="13" xfId="0" applyFont="1" applyBorder="1" applyAlignment="1">
      <alignment horizontal="justify"/>
    </xf>
    <xf numFmtId="0" fontId="1" fillId="0" borderId="13" xfId="0" applyFont="1" applyBorder="1" applyAlignment="1">
      <alignment horizontal="justify" wrapText="1"/>
    </xf>
    <xf numFmtId="0" fontId="33" fillId="0" borderId="13" xfId="0" applyFont="1" applyBorder="1" applyAlignment="1">
      <alignment horizontal="justify" wrapText="1"/>
    </xf>
    <xf numFmtId="180" fontId="1" fillId="0" borderId="13" xfId="0" applyNumberFormat="1" applyFont="1" applyBorder="1" applyAlignment="1">
      <alignment horizontal="center" wrapText="1"/>
    </xf>
    <xf numFmtId="180" fontId="1" fillId="0" borderId="13" xfId="0" applyNumberFormat="1" applyFont="1" applyBorder="1" applyAlignment="1">
      <alignment horizontal="center"/>
    </xf>
    <xf numFmtId="0" fontId="36" fillId="0" borderId="0" xfId="0" applyFont="1" applyAlignment="1">
      <alignment/>
    </xf>
    <xf numFmtId="181" fontId="36" fillId="0" borderId="0" xfId="0" applyNumberFormat="1" applyFont="1" applyAlignment="1">
      <alignment horizontal="center" vertical="center" wrapText="1"/>
    </xf>
    <xf numFmtId="181" fontId="3" fillId="0" borderId="13" xfId="0" applyNumberFormat="1" applyFont="1" applyBorder="1" applyAlignment="1">
      <alignment horizontal="center" vertical="center" wrapText="1"/>
    </xf>
    <xf numFmtId="181" fontId="5" fillId="0" borderId="13" xfId="0" applyNumberFormat="1" applyFont="1" applyFill="1" applyBorder="1" applyAlignment="1">
      <alignment horizontal="center" vertical="center" wrapText="1"/>
    </xf>
    <xf numFmtId="181" fontId="4" fillId="0" borderId="13" xfId="0" applyNumberFormat="1" applyFont="1" applyFill="1" applyBorder="1" applyAlignment="1">
      <alignment horizontal="center" vertical="center" wrapText="1"/>
    </xf>
    <xf numFmtId="181" fontId="3" fillId="0" borderId="13" xfId="0" applyNumberFormat="1" applyFont="1" applyBorder="1" applyAlignment="1">
      <alignment horizontal="left" vertical="center" wrapText="1"/>
    </xf>
    <xf numFmtId="181" fontId="5" fillId="0" borderId="13" xfId="0" applyNumberFormat="1" applyFont="1" applyFill="1" applyBorder="1" applyAlignment="1">
      <alignment horizontal="left" vertical="center" wrapText="1"/>
    </xf>
    <xf numFmtId="181" fontId="4" fillId="0" borderId="13" xfId="0" applyNumberFormat="1" applyFont="1" applyFill="1" applyBorder="1" applyAlignment="1">
      <alignment horizontal="left" vertical="center" wrapText="1"/>
    </xf>
    <xf numFmtId="181" fontId="29" fillId="0" borderId="13" xfId="0" applyNumberFormat="1" applyFont="1" applyBorder="1" applyAlignment="1">
      <alignment horizontal="justify"/>
    </xf>
    <xf numFmtId="181" fontId="32" fillId="0" borderId="13" xfId="0" applyNumberFormat="1" applyFont="1" applyBorder="1" applyAlignment="1">
      <alignment/>
    </xf>
    <xf numFmtId="181" fontId="36" fillId="0" borderId="13" xfId="0" applyNumberFormat="1" applyFont="1" applyBorder="1" applyAlignment="1">
      <alignment/>
    </xf>
    <xf numFmtId="181" fontId="31" fillId="0" borderId="13" xfId="0" applyNumberFormat="1" applyFont="1" applyBorder="1" applyAlignment="1">
      <alignment/>
    </xf>
    <xf numFmtId="181" fontId="29" fillId="0" borderId="12" xfId="0" applyNumberFormat="1" applyFont="1" applyBorder="1" applyAlignment="1">
      <alignment horizontal="right"/>
    </xf>
    <xf numFmtId="181" fontId="30" fillId="0" borderId="13" xfId="0" applyNumberFormat="1" applyFont="1" applyBorder="1" applyAlignment="1">
      <alignment horizontal="right" vertical="top" wrapText="1"/>
    </xf>
    <xf numFmtId="181" fontId="1" fillId="0" borderId="13" xfId="0" applyNumberFormat="1" applyFont="1" applyBorder="1" applyAlignment="1">
      <alignment horizontal="right"/>
    </xf>
    <xf numFmtId="0" fontId="1" fillId="0" borderId="15" xfId="0" applyFont="1" applyBorder="1" applyAlignment="1">
      <alignment horizontal="justify"/>
    </xf>
    <xf numFmtId="0" fontId="33" fillId="0" borderId="13" xfId="0" applyFont="1" applyBorder="1" applyAlignment="1">
      <alignment wrapText="1"/>
    </xf>
    <xf numFmtId="181" fontId="30" fillId="0" borderId="13" xfId="0" applyNumberFormat="1" applyFont="1" applyBorder="1" applyAlignment="1">
      <alignment/>
    </xf>
    <xf numFmtId="181" fontId="31" fillId="0" borderId="13" xfId="0" applyNumberFormat="1" applyFont="1" applyBorder="1" applyAlignment="1">
      <alignment/>
    </xf>
    <xf numFmtId="181" fontId="29" fillId="0" borderId="13" xfId="0" applyNumberFormat="1" applyFont="1" applyBorder="1" applyAlignment="1">
      <alignment/>
    </xf>
    <xf numFmtId="0" fontId="30" fillId="0" borderId="13" xfId="0" applyFont="1" applyBorder="1" applyAlignment="1">
      <alignment vertical="top" wrapText="1"/>
    </xf>
    <xf numFmtId="3" fontId="31" fillId="0" borderId="13" xfId="0" applyNumberFormat="1" applyFont="1" applyBorder="1" applyAlignment="1">
      <alignment/>
    </xf>
    <xf numFmtId="3" fontId="29" fillId="0" borderId="13" xfId="0" applyNumberFormat="1" applyFont="1" applyBorder="1" applyAlignment="1">
      <alignment vertical="top" wrapText="1"/>
    </xf>
    <xf numFmtId="3" fontId="33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9" fillId="0" borderId="13" xfId="0" applyFont="1" applyBorder="1" applyAlignment="1">
      <alignment horizontal="justify" wrapText="1"/>
    </xf>
    <xf numFmtId="0" fontId="30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justify" wrapText="1"/>
    </xf>
    <xf numFmtId="181" fontId="35" fillId="0" borderId="13" xfId="0" applyNumberFormat="1" applyFont="1" applyBorder="1" applyAlignment="1">
      <alignment horizontal="right"/>
    </xf>
    <xf numFmtId="0" fontId="33" fillId="0" borderId="13" xfId="0" applyFont="1" applyBorder="1" applyAlignment="1">
      <alignment horizontal="center" wrapText="1"/>
    </xf>
    <xf numFmtId="181" fontId="33" fillId="0" borderId="13" xfId="0" applyNumberFormat="1" applyFont="1" applyBorder="1" applyAlignment="1">
      <alignment horizontal="right" wrapText="1"/>
    </xf>
    <xf numFmtId="181" fontId="31" fillId="0" borderId="13" xfId="0" applyNumberFormat="1" applyFont="1" applyBorder="1" applyAlignment="1">
      <alignment horizontal="center" vertical="center" wrapText="1"/>
    </xf>
    <xf numFmtId="181" fontId="38" fillId="0" borderId="13" xfId="0" applyNumberFormat="1" applyFont="1" applyBorder="1" applyAlignment="1">
      <alignment horizontal="center" vertical="center" wrapText="1"/>
    </xf>
    <xf numFmtId="181" fontId="38" fillId="0" borderId="13" xfId="0" applyNumberFormat="1" applyFont="1" applyBorder="1" applyAlignment="1">
      <alignment horizontal="left" vertical="center" wrapText="1"/>
    </xf>
    <xf numFmtId="181" fontId="38" fillId="0" borderId="13" xfId="0" applyNumberFormat="1" applyFont="1" applyFill="1" applyBorder="1" applyAlignment="1">
      <alignment horizontal="center" vertical="center" wrapText="1"/>
    </xf>
    <xf numFmtId="181" fontId="38" fillId="0" borderId="13" xfId="0" applyNumberFormat="1" applyFont="1" applyFill="1" applyBorder="1" applyAlignment="1">
      <alignment horizontal="left" vertical="center" wrapText="1"/>
    </xf>
    <xf numFmtId="181" fontId="32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/>
    </xf>
    <xf numFmtId="181" fontId="39" fillId="0" borderId="13" xfId="0" applyNumberFormat="1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181" fontId="32" fillId="0" borderId="0" xfId="0" applyNumberFormat="1" applyFont="1" applyAlignment="1">
      <alignment/>
    </xf>
    <xf numFmtId="181" fontId="36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181" fontId="4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wrapText="1"/>
    </xf>
    <xf numFmtId="182" fontId="5" fillId="0" borderId="13" xfId="0" applyNumberFormat="1" applyFont="1" applyBorder="1" applyAlignment="1">
      <alignment horizontal="right" vertical="center"/>
    </xf>
    <xf numFmtId="181" fontId="5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181" fontId="5" fillId="0" borderId="13" xfId="0" applyNumberFormat="1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181" fontId="4" fillId="0" borderId="13" xfId="0" applyNumberFormat="1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81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left" vertical="center" wrapText="1"/>
    </xf>
    <xf numFmtId="2" fontId="5" fillId="0" borderId="16" xfId="0" applyNumberFormat="1" applyFont="1" applyBorder="1" applyAlignment="1">
      <alignment horizontal="right" vertical="center" wrapText="1"/>
    </xf>
    <xf numFmtId="181" fontId="5" fillId="0" borderId="16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181" fontId="8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181" fontId="41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justify"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181" fontId="5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justify"/>
    </xf>
    <xf numFmtId="0" fontId="5" fillId="0" borderId="13" xfId="0" applyFont="1" applyBorder="1" applyAlignment="1">
      <alignment horizontal="right"/>
    </xf>
    <xf numFmtId="181" fontId="4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181" fontId="3" fillId="0" borderId="13" xfId="0" applyNumberFormat="1" applyFont="1" applyBorder="1" applyAlignment="1">
      <alignment horizontal="righ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right" vertical="top" wrapText="1"/>
    </xf>
    <xf numFmtId="181" fontId="9" fillId="0" borderId="13" xfId="0" applyNumberFormat="1" applyFont="1" applyBorder="1" applyAlignment="1">
      <alignment horizontal="right" vertical="top" wrapText="1"/>
    </xf>
    <xf numFmtId="0" fontId="41" fillId="0" borderId="13" xfId="0" applyFont="1" applyBorder="1" applyAlignment="1">
      <alignment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right" vertical="top" wrapText="1"/>
    </xf>
    <xf numFmtId="181" fontId="41" fillId="0" borderId="13" xfId="0" applyNumberFormat="1" applyFont="1" applyBorder="1" applyAlignment="1">
      <alignment horizontal="right" vertical="top" wrapText="1"/>
    </xf>
    <xf numFmtId="0" fontId="31" fillId="0" borderId="13" xfId="0" applyFont="1" applyBorder="1" applyAlignment="1">
      <alignment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right"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justify"/>
    </xf>
    <xf numFmtId="0" fontId="32" fillId="0" borderId="13" xfId="0" applyFont="1" applyBorder="1" applyAlignment="1">
      <alignment horizontal="right"/>
    </xf>
    <xf numFmtId="181" fontId="32" fillId="0" borderId="13" xfId="0" applyNumberFormat="1" applyFont="1" applyBorder="1" applyAlignment="1">
      <alignment horizontal="right"/>
    </xf>
    <xf numFmtId="181" fontId="42" fillId="0" borderId="13" xfId="0" applyNumberFormat="1" applyFont="1" applyBorder="1" applyAlignment="1">
      <alignment horizontal="right"/>
    </xf>
    <xf numFmtId="0" fontId="32" fillId="0" borderId="13" xfId="0" applyFont="1" applyBorder="1" applyAlignment="1">
      <alignment vertical="top"/>
    </xf>
    <xf numFmtId="181" fontId="32" fillId="0" borderId="13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32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right" wrapText="1"/>
    </xf>
    <xf numFmtId="181" fontId="4" fillId="0" borderId="13" xfId="0" applyNumberFormat="1" applyFont="1" applyBorder="1" applyAlignment="1">
      <alignment horizontal="right" wrapText="1"/>
    </xf>
    <xf numFmtId="0" fontId="43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right" wrapText="1"/>
    </xf>
    <xf numFmtId="181" fontId="5" fillId="0" borderId="13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181" fontId="3" fillId="0" borderId="13" xfId="0" applyNumberFormat="1" applyFont="1" applyBorder="1" applyAlignment="1">
      <alignment horizontal="right" wrapText="1"/>
    </xf>
    <xf numFmtId="0" fontId="9" fillId="0" borderId="13" xfId="0" applyFont="1" applyBorder="1" applyAlignment="1">
      <alignment horizontal="center" wrapText="1"/>
    </xf>
    <xf numFmtId="183" fontId="9" fillId="0" borderId="13" xfId="0" applyNumberFormat="1" applyFont="1" applyBorder="1" applyAlignment="1">
      <alignment horizontal="right" wrapText="1"/>
    </xf>
    <xf numFmtId="181" fontId="9" fillId="0" borderId="13" xfId="0" applyNumberFormat="1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9" fillId="0" borderId="13" xfId="0" applyFont="1" applyBorder="1" applyAlignment="1">
      <alignment horizontal="justify" wrapText="1"/>
    </xf>
    <xf numFmtId="0" fontId="4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justify"/>
    </xf>
    <xf numFmtId="0" fontId="10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181" fontId="10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181" fontId="4" fillId="0" borderId="13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181" fontId="5" fillId="0" borderId="13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horizontal="right"/>
    </xf>
    <xf numFmtId="181" fontId="2" fillId="0" borderId="13" xfId="0" applyNumberFormat="1" applyFont="1" applyBorder="1" applyAlignment="1">
      <alignment horizontal="right"/>
    </xf>
    <xf numFmtId="0" fontId="40" fillId="0" borderId="13" xfId="0" applyFont="1" applyBorder="1" applyAlignment="1">
      <alignment horizontal="center"/>
    </xf>
    <xf numFmtId="0" fontId="40" fillId="0" borderId="13" xfId="0" applyFont="1" applyBorder="1" applyAlignment="1">
      <alignment vertical="top"/>
    </xf>
    <xf numFmtId="0" fontId="40" fillId="0" borderId="13" xfId="0" applyFont="1" applyBorder="1" applyAlignment="1">
      <alignment horizontal="right"/>
    </xf>
    <xf numFmtId="181" fontId="40" fillId="0" borderId="13" xfId="0" applyNumberFormat="1" applyFont="1" applyBorder="1" applyAlignment="1">
      <alignment horizontal="right"/>
    </xf>
    <xf numFmtId="181" fontId="44" fillId="0" borderId="13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" fillId="0" borderId="13" xfId="0" applyFont="1" applyBorder="1" applyAlignment="1">
      <alignment/>
    </xf>
    <xf numFmtId="181" fontId="1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/>
    </xf>
    <xf numFmtId="0" fontId="33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right"/>
    </xf>
    <xf numFmtId="181" fontId="33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45" fillId="0" borderId="13" xfId="0" applyFont="1" applyBorder="1" applyAlignment="1">
      <alignment horizontal="justify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right"/>
    </xf>
    <xf numFmtId="181" fontId="45" fillId="0" borderId="13" xfId="0" applyNumberFormat="1" applyFont="1" applyBorder="1" applyAlignment="1">
      <alignment horizontal="right"/>
    </xf>
    <xf numFmtId="0" fontId="46" fillId="0" borderId="13" xfId="0" applyFont="1" applyBorder="1" applyAlignment="1">
      <alignment horizontal="justify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right"/>
    </xf>
    <xf numFmtId="181" fontId="46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181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justify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right" vertical="top" wrapText="1"/>
    </xf>
    <xf numFmtId="181" fontId="0" fillId="0" borderId="13" xfId="0" applyNumberFormat="1" applyFont="1" applyBorder="1" applyAlignment="1">
      <alignment horizontal="right"/>
    </xf>
    <xf numFmtId="181" fontId="46" fillId="0" borderId="13" xfId="0" applyNumberFormat="1" applyFont="1" applyBorder="1" applyAlignment="1">
      <alignment horizontal="right" vertical="top" wrapText="1"/>
    </xf>
    <xf numFmtId="180" fontId="0" fillId="0" borderId="0" xfId="0" applyNumberFormat="1" applyFont="1" applyAlignment="1">
      <alignment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right"/>
    </xf>
    <xf numFmtId="181" fontId="45" fillId="0" borderId="13" xfId="0" applyNumberFormat="1" applyFont="1" applyBorder="1" applyAlignment="1">
      <alignment horizontal="right" vertical="top" wrapText="1"/>
    </xf>
    <xf numFmtId="0" fontId="45" fillId="0" borderId="13" xfId="0" applyFont="1" applyBorder="1" applyAlignment="1">
      <alignment/>
    </xf>
    <xf numFmtId="0" fontId="46" fillId="0" borderId="13" xfId="0" applyFont="1" applyBorder="1" applyAlignment="1">
      <alignment vertical="top"/>
    </xf>
    <xf numFmtId="181" fontId="47" fillId="0" borderId="13" xfId="0" applyNumberFormat="1" applyFont="1" applyBorder="1" applyAlignment="1">
      <alignment horizontal="right"/>
    </xf>
    <xf numFmtId="0" fontId="45" fillId="0" borderId="13" xfId="0" applyFont="1" applyBorder="1" applyAlignment="1">
      <alignment/>
    </xf>
    <xf numFmtId="0" fontId="46" fillId="0" borderId="13" xfId="0" applyFont="1" applyBorder="1" applyAlignment="1">
      <alignment/>
    </xf>
    <xf numFmtId="0" fontId="45" fillId="0" borderId="13" xfId="0" applyFont="1" applyBorder="1" applyAlignment="1">
      <alignment wrapText="1"/>
    </xf>
    <xf numFmtId="0" fontId="45" fillId="0" borderId="13" xfId="0" applyFont="1" applyBorder="1" applyAlignment="1">
      <alignment horizontal="center" wrapText="1"/>
    </xf>
    <xf numFmtId="0" fontId="45" fillId="0" borderId="13" xfId="0" applyFont="1" applyBorder="1" applyAlignment="1">
      <alignment horizontal="right" wrapText="1"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horizontal="center" wrapText="1"/>
    </xf>
    <xf numFmtId="0" fontId="46" fillId="0" borderId="13" xfId="0" applyFont="1" applyBorder="1" applyAlignment="1">
      <alignment horizontal="right" wrapText="1"/>
    </xf>
    <xf numFmtId="181" fontId="46" fillId="0" borderId="13" xfId="0" applyNumberFormat="1" applyFont="1" applyBorder="1" applyAlignment="1">
      <alignment horizontal="right" wrapText="1"/>
    </xf>
    <xf numFmtId="181" fontId="45" fillId="0" borderId="13" xfId="0" applyNumberFormat="1" applyFont="1" applyBorder="1" applyAlignment="1">
      <alignment horizontal="right" wrapText="1"/>
    </xf>
    <xf numFmtId="0" fontId="45" fillId="0" borderId="13" xfId="0" applyFont="1" applyBorder="1" applyAlignment="1">
      <alignment horizontal="justify" wrapText="1"/>
    </xf>
    <xf numFmtId="0" fontId="46" fillId="0" borderId="13" xfId="0" applyFont="1" applyBorder="1" applyAlignment="1">
      <alignment horizontal="justify" wrapText="1"/>
    </xf>
    <xf numFmtId="183" fontId="46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 horizontal="right"/>
    </xf>
    <xf numFmtId="181" fontId="29" fillId="0" borderId="13" xfId="0" applyNumberFormat="1" applyFont="1" applyBorder="1" applyAlignment="1">
      <alignment horizontal="center" vertical="top" wrapText="1"/>
    </xf>
    <xf numFmtId="181" fontId="29" fillId="0" borderId="13" xfId="0" applyNumberFormat="1" applyFont="1" applyBorder="1" applyAlignment="1">
      <alignment horizontal="justify" vertical="top" wrapText="1"/>
    </xf>
    <xf numFmtId="181" fontId="0" fillId="0" borderId="0" xfId="0" applyNumberFormat="1" applyAlignment="1">
      <alignment/>
    </xf>
    <xf numFmtId="181" fontId="29" fillId="0" borderId="10" xfId="0" applyNumberFormat="1" applyFont="1" applyBorder="1" applyAlignment="1">
      <alignment horizontal="center" vertical="top" wrapText="1"/>
    </xf>
    <xf numFmtId="181" fontId="29" fillId="0" borderId="12" xfId="0" applyNumberFormat="1" applyFont="1" applyBorder="1" applyAlignment="1">
      <alignment horizontal="justify" vertical="top" wrapText="1"/>
    </xf>
    <xf numFmtId="181" fontId="30" fillId="0" borderId="12" xfId="0" applyNumberFormat="1" applyFont="1" applyBorder="1" applyAlignment="1">
      <alignment horizontal="justify" vertical="top" wrapText="1"/>
    </xf>
    <xf numFmtId="181" fontId="31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180" fontId="1" fillId="0" borderId="13" xfId="0" applyNumberFormat="1" applyFont="1" applyBorder="1" applyAlignment="1">
      <alignment horizontal="left"/>
    </xf>
    <xf numFmtId="180" fontId="1" fillId="0" borderId="13" xfId="0" applyNumberFormat="1" applyFont="1" applyBorder="1" applyAlignment="1">
      <alignment horizontal="left" wrapText="1"/>
    </xf>
    <xf numFmtId="180" fontId="33" fillId="0" borderId="13" xfId="0" applyNumberFormat="1" applyFont="1" applyBorder="1" applyAlignment="1">
      <alignment horizontal="left" wrapText="1"/>
    </xf>
    <xf numFmtId="0" fontId="36" fillId="0" borderId="0" xfId="0" applyFont="1" applyAlignment="1">
      <alignment horizontal="left"/>
    </xf>
    <xf numFmtId="0" fontId="1" fillId="0" borderId="13" xfId="0" applyFont="1" applyBorder="1" applyAlignment="1">
      <alignment horizontal="center" wrapText="1"/>
    </xf>
    <xf numFmtId="0" fontId="36" fillId="0" borderId="0" xfId="0" applyFont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1" fontId="33" fillId="0" borderId="18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1" fontId="30" fillId="0" borderId="13" xfId="0" applyNumberFormat="1" applyFont="1" applyBorder="1" applyAlignment="1">
      <alignment horizontal="center" vertical="center" wrapText="1"/>
    </xf>
    <xf numFmtId="181" fontId="29" fillId="0" borderId="13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180" fontId="33" fillId="0" borderId="12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1" fontId="33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80" fontId="33" fillId="0" borderId="18" xfId="0" applyNumberFormat="1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left" vertical="center" wrapText="1"/>
    </xf>
    <xf numFmtId="180" fontId="33" fillId="0" borderId="13" xfId="0" applyNumberFormat="1" applyFont="1" applyBorder="1" applyAlignment="1">
      <alignment horizontal="left" vertical="center" wrapText="1"/>
    </xf>
    <xf numFmtId="180" fontId="33" fillId="0" borderId="12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181" fontId="36" fillId="0" borderId="13" xfId="0" applyNumberFormat="1" applyFont="1" applyBorder="1" applyAlignment="1">
      <alignment horizontal="right"/>
    </xf>
    <xf numFmtId="181" fontId="29" fillId="0" borderId="13" xfId="0" applyNumberFormat="1" applyFont="1" applyBorder="1" applyAlignment="1">
      <alignment horizontal="right" vertical="top" wrapText="1"/>
    </xf>
    <xf numFmtId="0" fontId="37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horizontal="left" wrapText="1"/>
    </xf>
    <xf numFmtId="181" fontId="37" fillId="0" borderId="13" xfId="0" applyNumberFormat="1" applyFont="1" applyBorder="1" applyAlignment="1">
      <alignment horizontal="right" wrapText="1"/>
    </xf>
    <xf numFmtId="0" fontId="37" fillId="0" borderId="0" xfId="0" applyFont="1" applyAlignment="1">
      <alignment wrapText="1"/>
    </xf>
    <xf numFmtId="181" fontId="37" fillId="0" borderId="0" xfId="0" applyNumberFormat="1" applyFont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3" fontId="0" fillId="0" borderId="0" xfId="0" applyNumberFormat="1" applyAlignment="1">
      <alignment/>
    </xf>
    <xf numFmtId="3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3" fontId="48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3" fontId="7" fillId="0" borderId="12" xfId="0" applyNumberFormat="1" applyFont="1" applyBorder="1" applyAlignment="1">
      <alignment horizontal="right" vertical="top" wrapText="1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181" fontId="5" fillId="0" borderId="13" xfId="0" applyNumberFormat="1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>
      <alignment horizontal="left" vertical="center" wrapText="1"/>
    </xf>
    <xf numFmtId="181" fontId="51" fillId="0" borderId="13" xfId="0" applyNumberFormat="1" applyFont="1" applyBorder="1" applyAlignment="1">
      <alignment horizontal="center" vertical="center" wrapText="1"/>
    </xf>
    <xf numFmtId="181" fontId="55" fillId="0" borderId="13" xfId="0" applyNumberFormat="1" applyFont="1" applyBorder="1" applyAlignment="1">
      <alignment horizontal="center" vertical="center" wrapText="1"/>
    </xf>
    <xf numFmtId="181" fontId="4" fillId="0" borderId="19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/>
    </xf>
    <xf numFmtId="181" fontId="31" fillId="0" borderId="13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5" fontId="0" fillId="0" borderId="0" xfId="42" applyNumberFormat="1" applyBorder="1" applyAlignment="1">
      <alignment wrapText="1"/>
    </xf>
    <xf numFmtId="185" fontId="0" fillId="0" borderId="0" xfId="42" applyNumberFormat="1" applyBorder="1" applyAlignment="1">
      <alignment vertical="center" wrapText="1"/>
    </xf>
    <xf numFmtId="181" fontId="51" fillId="0" borderId="13" xfId="0" applyNumberFormat="1" applyFont="1" applyBorder="1" applyAlignment="1">
      <alignment horizontal="left" vertical="center" wrapText="1"/>
    </xf>
    <xf numFmtId="0" fontId="31" fillId="0" borderId="13" xfId="0" applyFont="1" applyBorder="1" applyAlignment="1">
      <alignment/>
    </xf>
    <xf numFmtId="0" fontId="37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36" fillId="0" borderId="13" xfId="0" applyFont="1" applyBorder="1" applyAlignment="1">
      <alignment/>
    </xf>
    <xf numFmtId="0" fontId="57" fillId="0" borderId="13" xfId="0" applyFont="1" applyBorder="1" applyAlignment="1">
      <alignment/>
    </xf>
    <xf numFmtId="2" fontId="36" fillId="0" borderId="13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185" fontId="36" fillId="0" borderId="13" xfId="42" applyNumberFormat="1" applyFont="1" applyBorder="1" applyAlignment="1">
      <alignment vertical="center" wrapText="1"/>
    </xf>
    <xf numFmtId="185" fontId="36" fillId="0" borderId="0" xfId="42" applyNumberFormat="1" applyFont="1" applyBorder="1" applyAlignment="1">
      <alignment vertical="center" wrapText="1"/>
    </xf>
    <xf numFmtId="0" fontId="37" fillId="0" borderId="0" xfId="0" applyFont="1" applyAlignment="1">
      <alignment/>
    </xf>
    <xf numFmtId="185" fontId="36" fillId="0" borderId="0" xfId="0" applyNumberFormat="1" applyFont="1" applyAlignment="1">
      <alignment/>
    </xf>
    <xf numFmtId="181" fontId="6" fillId="0" borderId="0" xfId="0" applyNumberFormat="1" applyFont="1" applyFill="1" applyAlignment="1">
      <alignment horizontal="center" vertical="center" wrapText="1"/>
    </xf>
    <xf numFmtId="181" fontId="51" fillId="0" borderId="0" xfId="0" applyNumberFormat="1" applyFont="1" applyFill="1" applyAlignment="1">
      <alignment horizontal="center" vertical="center" wrapText="1"/>
    </xf>
    <xf numFmtId="181" fontId="3" fillId="0" borderId="13" xfId="0" applyNumberFormat="1" applyFont="1" applyFill="1" applyBorder="1" applyAlignment="1">
      <alignment horizontal="center" vertical="center" wrapText="1"/>
    </xf>
    <xf numFmtId="181" fontId="6" fillId="0" borderId="13" xfId="0" applyNumberFormat="1" applyFont="1" applyFill="1" applyBorder="1" applyAlignment="1">
      <alignment horizontal="center" vertical="center" wrapText="1"/>
    </xf>
    <xf numFmtId="181" fontId="6" fillId="0" borderId="13" xfId="0" applyNumberFormat="1" applyFont="1" applyFill="1" applyBorder="1" applyAlignment="1">
      <alignment horizontal="center" vertical="center" wrapText="1"/>
    </xf>
    <xf numFmtId="181" fontId="3" fillId="0" borderId="13" xfId="0" applyNumberFormat="1" applyFont="1" applyFill="1" applyBorder="1" applyAlignment="1">
      <alignment horizontal="left" vertical="center" wrapText="1"/>
    </xf>
    <xf numFmtId="181" fontId="51" fillId="0" borderId="13" xfId="0" applyNumberFormat="1" applyFont="1" applyFill="1" applyBorder="1" applyAlignment="1">
      <alignment horizontal="center" vertical="center" wrapText="1"/>
    </xf>
    <xf numFmtId="181" fontId="51" fillId="0" borderId="13" xfId="0" applyNumberFormat="1" applyFont="1" applyFill="1" applyBorder="1" applyAlignment="1">
      <alignment horizontal="center" vertical="center" wrapText="1"/>
    </xf>
    <xf numFmtId="181" fontId="53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180" fontId="5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181" fontId="6" fillId="0" borderId="13" xfId="0" applyNumberFormat="1" applyFont="1" applyFill="1" applyBorder="1" applyAlignment="1">
      <alignment horizontal="center" vertical="center" wrapText="1"/>
    </xf>
    <xf numFmtId="182" fontId="51" fillId="0" borderId="13" xfId="0" applyNumberFormat="1" applyFont="1" applyFill="1" applyBorder="1" applyAlignment="1">
      <alignment horizontal="center" vertical="center" wrapText="1"/>
    </xf>
    <xf numFmtId="181" fontId="5" fillId="0" borderId="20" xfId="0" applyNumberFormat="1" applyFont="1" applyFill="1" applyBorder="1" applyAlignment="1">
      <alignment horizontal="center" vertical="center" wrapText="1"/>
    </xf>
    <xf numFmtId="181" fontId="6" fillId="0" borderId="19" xfId="0" applyNumberFormat="1" applyFont="1" applyFill="1" applyBorder="1" applyAlignment="1">
      <alignment horizontal="center" vertical="center" wrapText="1"/>
    </xf>
    <xf numFmtId="181" fontId="56" fillId="0" borderId="13" xfId="0" applyNumberFormat="1" applyFont="1" applyFill="1" applyBorder="1" applyAlignment="1">
      <alignment horizontal="center" vertical="center" wrapText="1"/>
    </xf>
    <xf numFmtId="181" fontId="36" fillId="0" borderId="0" xfId="0" applyNumberFormat="1" applyFont="1" applyAlignment="1">
      <alignment/>
    </xf>
    <xf numFmtId="0" fontId="48" fillId="0" borderId="21" xfId="0" applyFont="1" applyBorder="1" applyAlignment="1">
      <alignment horizontal="justify" wrapText="1"/>
    </xf>
    <xf numFmtId="0" fontId="48" fillId="0" borderId="10" xfId="0" applyFont="1" applyBorder="1" applyAlignment="1">
      <alignment horizontal="justify" wrapText="1"/>
    </xf>
    <xf numFmtId="0" fontId="48" fillId="0" borderId="22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22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right" wrapText="1"/>
    </xf>
    <xf numFmtId="181" fontId="4" fillId="0" borderId="13" xfId="0" applyNumberFormat="1" applyFont="1" applyBorder="1" applyAlignment="1">
      <alignment horizontal="right" wrapText="1"/>
    </xf>
    <xf numFmtId="181" fontId="41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181" fontId="4" fillId="0" borderId="13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48" fillId="0" borderId="23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23" xfId="0" applyFont="1" applyBorder="1" applyAlignment="1">
      <alignment horizontal="justify" wrapText="1"/>
    </xf>
    <xf numFmtId="0" fontId="33" fillId="0" borderId="13" xfId="0" applyFont="1" applyBorder="1" applyAlignment="1">
      <alignment horizontal="justify" wrapText="1"/>
    </xf>
    <xf numFmtId="0" fontId="33" fillId="0" borderId="13" xfId="0" applyFont="1" applyBorder="1" applyAlignment="1">
      <alignment horizontal="center" wrapText="1"/>
    </xf>
    <xf numFmtId="0" fontId="33" fillId="0" borderId="13" xfId="0" applyFont="1" applyBorder="1" applyAlignment="1">
      <alignment wrapText="1"/>
    </xf>
    <xf numFmtId="180" fontId="33" fillId="0" borderId="24" xfId="0" applyNumberFormat="1" applyFont="1" applyBorder="1" applyAlignment="1">
      <alignment horizontal="left" vertical="center" wrapText="1"/>
    </xf>
    <xf numFmtId="180" fontId="33" fillId="0" borderId="25" xfId="0" applyNumberFormat="1" applyFont="1" applyBorder="1" applyAlignment="1">
      <alignment horizontal="left" vertical="center" wrapText="1"/>
    </xf>
    <xf numFmtId="180" fontId="33" fillId="0" borderId="26" xfId="0" applyNumberFormat="1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180" fontId="33" fillId="0" borderId="22" xfId="0" applyNumberFormat="1" applyFont="1" applyBorder="1" applyAlignment="1">
      <alignment horizontal="center" vertical="center" wrapText="1"/>
    </xf>
    <xf numFmtId="180" fontId="33" fillId="0" borderId="17" xfId="0" applyNumberFormat="1" applyFont="1" applyBorder="1" applyAlignment="1">
      <alignment horizontal="center" vertical="center" wrapText="1"/>
    </xf>
    <xf numFmtId="180" fontId="33" fillId="0" borderId="27" xfId="0" applyNumberFormat="1" applyFont="1" applyBorder="1" applyAlignment="1">
      <alignment horizontal="center" vertical="center" wrapText="1"/>
    </xf>
    <xf numFmtId="180" fontId="33" fillId="0" borderId="11" xfId="0" applyNumberFormat="1" applyFont="1" applyBorder="1" applyAlignment="1">
      <alignment horizontal="center" vertical="center" wrapText="1"/>
    </xf>
    <xf numFmtId="181" fontId="33" fillId="0" borderId="22" xfId="0" applyNumberFormat="1" applyFont="1" applyBorder="1" applyAlignment="1">
      <alignment horizontal="center" vertical="center" wrapText="1"/>
    </xf>
    <xf numFmtId="181" fontId="33" fillId="0" borderId="17" xfId="0" applyNumberFormat="1" applyFont="1" applyBorder="1" applyAlignment="1">
      <alignment horizontal="center" vertical="center" wrapText="1"/>
    </xf>
    <xf numFmtId="181" fontId="33" fillId="0" borderId="11" xfId="0" applyNumberFormat="1" applyFont="1" applyBorder="1" applyAlignment="1">
      <alignment horizontal="center" vertical="center" wrapText="1"/>
    </xf>
    <xf numFmtId="180" fontId="33" fillId="0" borderId="13" xfId="0" applyNumberFormat="1" applyFont="1" applyBorder="1" applyAlignment="1">
      <alignment wrapText="1"/>
    </xf>
    <xf numFmtId="181" fontId="33" fillId="0" borderId="13" xfId="0" applyNumberFormat="1" applyFont="1" applyBorder="1" applyAlignment="1">
      <alignment wrapText="1"/>
    </xf>
    <xf numFmtId="180" fontId="33" fillId="0" borderId="13" xfId="0" applyNumberFormat="1" applyFont="1" applyBorder="1" applyAlignment="1">
      <alignment horizontal="justify" wrapText="1"/>
    </xf>
    <xf numFmtId="181" fontId="36" fillId="0" borderId="13" xfId="0" applyNumberFormat="1" applyFont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left"/>
    </xf>
    <xf numFmtId="181" fontId="6" fillId="0" borderId="13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center" vertical="center" wrapText="1"/>
    </xf>
    <xf numFmtId="181" fontId="3" fillId="0" borderId="19" xfId="0" applyNumberFormat="1" applyFont="1" applyFill="1" applyBorder="1" applyAlignment="1">
      <alignment horizontal="center" vertical="center" wrapText="1"/>
    </xf>
    <xf numFmtId="181" fontId="3" fillId="0" borderId="13" xfId="0" applyNumberFormat="1" applyFont="1" applyFill="1" applyBorder="1" applyAlignment="1">
      <alignment horizontal="center" vertical="center" wrapText="1"/>
    </xf>
    <xf numFmtId="181" fontId="6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181" fontId="3" fillId="0" borderId="13" xfId="0" applyNumberFormat="1" applyFont="1" applyBorder="1" applyAlignment="1">
      <alignment horizontal="center" vertical="center" wrapText="1"/>
    </xf>
    <xf numFmtId="181" fontId="3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="85" zoomScaleNormal="85" workbookViewId="0" topLeftCell="A1">
      <selection activeCell="F1" sqref="F1:H15"/>
    </sheetView>
  </sheetViews>
  <sheetFormatPr defaultColWidth="9.140625" defaultRowHeight="15"/>
  <cols>
    <col min="2" max="2" width="31.7109375" style="0" customWidth="1"/>
    <col min="3" max="3" width="11.28125" style="0" bestFit="1" customWidth="1"/>
    <col min="7" max="7" width="32.7109375" style="0" customWidth="1"/>
    <col min="8" max="8" width="20.8515625" style="0" customWidth="1"/>
  </cols>
  <sheetData>
    <row r="1" spans="1:8" ht="22.5" customHeight="1">
      <c r="A1" s="4" t="s">
        <v>0</v>
      </c>
      <c r="B1" s="4" t="s">
        <v>1</v>
      </c>
      <c r="C1" s="5" t="s">
        <v>2</v>
      </c>
      <c r="F1" s="17" t="s">
        <v>0</v>
      </c>
      <c r="G1" s="17" t="s">
        <v>1</v>
      </c>
      <c r="H1" s="18" t="s">
        <v>2</v>
      </c>
    </row>
    <row r="2" spans="1:8" ht="22.5" customHeight="1">
      <c r="A2" s="4" t="s">
        <v>3</v>
      </c>
      <c r="B2" s="4" t="s">
        <v>4</v>
      </c>
      <c r="C2" s="6"/>
      <c r="F2" s="4" t="s">
        <v>3</v>
      </c>
      <c r="G2" s="4" t="s">
        <v>4</v>
      </c>
      <c r="H2" s="37"/>
    </row>
    <row r="3" spans="1:8" ht="22.5" customHeight="1">
      <c r="A3" s="7">
        <v>1</v>
      </c>
      <c r="B3" s="7" t="s">
        <v>5</v>
      </c>
      <c r="C3" s="8">
        <v>2500</v>
      </c>
      <c r="F3" s="7">
        <v>1</v>
      </c>
      <c r="G3" s="7" t="s">
        <v>5</v>
      </c>
      <c r="H3" s="8">
        <f>C3</f>
        <v>2500</v>
      </c>
    </row>
    <row r="4" spans="1:8" ht="22.5" customHeight="1">
      <c r="A4" s="7">
        <v>2</v>
      </c>
      <c r="B4" s="7" t="s">
        <v>6</v>
      </c>
      <c r="C4" s="57">
        <f>'HT NA TAU'!F11/1000</f>
        <v>3567.9212469999993</v>
      </c>
      <c r="F4" s="7">
        <v>2</v>
      </c>
      <c r="G4" s="7" t="s">
        <v>6</v>
      </c>
      <c r="H4" s="8">
        <f>C4</f>
        <v>3567.9212469999993</v>
      </c>
    </row>
    <row r="5" spans="1:8" ht="22.5" customHeight="1">
      <c r="A5" s="7">
        <v>3</v>
      </c>
      <c r="B5" s="7" t="s">
        <v>7</v>
      </c>
      <c r="C5" s="8">
        <f>'HT NA TAU'!F29/1000</f>
        <v>8465.6</v>
      </c>
      <c r="F5" s="7">
        <v>3</v>
      </c>
      <c r="G5" s="7" t="s">
        <v>7</v>
      </c>
      <c r="H5" s="8">
        <f>C5</f>
        <v>8465.6</v>
      </c>
    </row>
    <row r="6" spans="1:8" ht="22.5" customHeight="1">
      <c r="A6" s="7">
        <v>4</v>
      </c>
      <c r="B6" s="7" t="s">
        <v>8</v>
      </c>
      <c r="C6" s="8">
        <f>'HT NA TAU'!F71/1000</f>
        <v>3598.155</v>
      </c>
      <c r="F6" s="7">
        <v>4</v>
      </c>
      <c r="G6" s="7" t="s">
        <v>8</v>
      </c>
      <c r="H6" s="8">
        <f>C6</f>
        <v>3598.155</v>
      </c>
    </row>
    <row r="7" spans="1:8" ht="22.5" customHeight="1">
      <c r="A7" s="7">
        <v>5</v>
      </c>
      <c r="B7" s="7" t="s">
        <v>9</v>
      </c>
      <c r="C7" s="9">
        <f>'HT NA TAU'!F44/1000</f>
        <v>3778.13425</v>
      </c>
      <c r="F7" s="7">
        <v>5</v>
      </c>
      <c r="G7" s="7" t="s">
        <v>9</v>
      </c>
      <c r="H7" s="9">
        <f>C7</f>
        <v>3778.13425</v>
      </c>
    </row>
    <row r="8" spans="1:8" ht="22.5" customHeight="1">
      <c r="A8" s="7">
        <v>6</v>
      </c>
      <c r="B8" s="7" t="s">
        <v>10</v>
      </c>
      <c r="C8" s="8">
        <f>'HT NA TAU'!F60/1000</f>
        <v>2123.869</v>
      </c>
      <c r="F8" s="7">
        <v>6</v>
      </c>
      <c r="G8" s="7" t="s">
        <v>10</v>
      </c>
      <c r="H8" s="8">
        <f>C8</f>
        <v>2123.869</v>
      </c>
    </row>
    <row r="9" spans="1:8" ht="22.5" customHeight="1">
      <c r="A9" s="4"/>
      <c r="B9" s="4" t="s">
        <v>11</v>
      </c>
      <c r="C9" s="10">
        <f>C3+C4+C5+C6+C7+C8</f>
        <v>24033.679496999997</v>
      </c>
      <c r="F9" s="4"/>
      <c r="G9" s="4" t="s">
        <v>11</v>
      </c>
      <c r="H9" s="10">
        <f>H8+H7+H6+H5+H4+H3</f>
        <v>24033.679496999997</v>
      </c>
    </row>
    <row r="10" spans="6:8" ht="16.5">
      <c r="F10" s="4" t="s">
        <v>12</v>
      </c>
      <c r="G10" s="4" t="s">
        <v>13</v>
      </c>
      <c r="H10" s="10"/>
    </row>
    <row r="11" spans="6:8" ht="30.75" customHeight="1">
      <c r="F11" s="7">
        <v>1</v>
      </c>
      <c r="G11" s="7" t="s">
        <v>14</v>
      </c>
      <c r="H11" s="38">
        <f>'NOI DI'!F65/1000000</f>
        <v>0</v>
      </c>
    </row>
    <row r="12" spans="6:8" ht="40.5" customHeight="1">
      <c r="F12" s="7">
        <v>2</v>
      </c>
      <c r="G12" s="7" t="s">
        <v>15</v>
      </c>
      <c r="H12" s="38">
        <f>'NOI DEN'!F13/1000000</f>
        <v>16653.64</v>
      </c>
    </row>
    <row r="13" spans="6:8" ht="21.75" customHeight="1">
      <c r="F13" s="4"/>
      <c r="G13" s="4" t="s">
        <v>11</v>
      </c>
      <c r="H13" s="10">
        <f>H12+H11</f>
        <v>16653.64</v>
      </c>
    </row>
    <row r="14" spans="6:8" ht="21.75" customHeight="1">
      <c r="F14" s="4" t="s">
        <v>16</v>
      </c>
      <c r="G14" s="4" t="s">
        <v>17</v>
      </c>
      <c r="H14" s="39" t="e">
        <f>('NOI DI'!#REF!+'NOI DI'!#REF!)/1000000</f>
        <v>#REF!</v>
      </c>
    </row>
    <row r="15" spans="6:8" ht="21.75" customHeight="1">
      <c r="F15" s="4"/>
      <c r="G15" s="4" t="s">
        <v>18</v>
      </c>
      <c r="H15" s="10" t="e">
        <f>H14+H13+H9</f>
        <v>#REF!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zoomScale="70" zoomScaleNormal="70" workbookViewId="0" topLeftCell="C1">
      <selection activeCell="L7" sqref="L7"/>
    </sheetView>
  </sheetViews>
  <sheetFormatPr defaultColWidth="9.140625" defaultRowHeight="15"/>
  <cols>
    <col min="1" max="1" width="4.00390625" style="11" bestFit="1" customWidth="1"/>
    <col min="2" max="2" width="25.28125" style="11" bestFit="1" customWidth="1"/>
    <col min="3" max="3" width="8.7109375" style="11" bestFit="1" customWidth="1"/>
    <col min="4" max="4" width="7.421875" style="11" bestFit="1" customWidth="1"/>
    <col min="5" max="5" width="12.140625" style="11" bestFit="1" customWidth="1"/>
    <col min="6" max="6" width="16.7109375" style="11" bestFit="1" customWidth="1"/>
    <col min="7" max="7" width="12.140625" style="11" bestFit="1" customWidth="1"/>
    <col min="8" max="8" width="17.57421875" style="11" customWidth="1"/>
    <col min="9" max="9" width="12.140625" style="11" bestFit="1" customWidth="1"/>
    <col min="10" max="10" width="16.7109375" style="11" customWidth="1"/>
    <col min="11" max="11" width="12.140625" style="11" bestFit="1" customWidth="1"/>
    <col min="12" max="12" width="17.421875" style="11" customWidth="1"/>
    <col min="13" max="13" width="19.57421875" style="11" customWidth="1"/>
    <col min="14" max="16384" width="9.140625" style="11" customWidth="1"/>
  </cols>
  <sheetData>
    <row r="1" spans="1:12" ht="19.5">
      <c r="A1" s="384" t="s">
        <v>257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4" spans="1:13" ht="19.5" customHeight="1">
      <c r="A4" s="385" t="s">
        <v>0</v>
      </c>
      <c r="B4" s="385" t="s">
        <v>46</v>
      </c>
      <c r="C4" s="60"/>
      <c r="D4" s="60"/>
      <c r="E4" s="386" t="s">
        <v>258</v>
      </c>
      <c r="F4" s="386"/>
      <c r="G4" s="386" t="s">
        <v>259</v>
      </c>
      <c r="H4" s="386"/>
      <c r="I4" s="386" t="s">
        <v>260</v>
      </c>
      <c r="J4" s="386"/>
      <c r="K4" s="386" t="s">
        <v>261</v>
      </c>
      <c r="L4" s="386"/>
      <c r="M4" s="306" t="s">
        <v>18</v>
      </c>
    </row>
    <row r="5" spans="1:13" ht="32.25" customHeight="1">
      <c r="A5" s="385"/>
      <c r="B5" s="385"/>
      <c r="C5" s="60" t="s">
        <v>78</v>
      </c>
      <c r="D5" s="60" t="s">
        <v>22</v>
      </c>
      <c r="E5" s="60" t="s">
        <v>77</v>
      </c>
      <c r="F5" s="60" t="s">
        <v>79</v>
      </c>
      <c r="G5" s="60" t="s">
        <v>77</v>
      </c>
      <c r="H5" s="60" t="s">
        <v>79</v>
      </c>
      <c r="I5" s="60" t="s">
        <v>77</v>
      </c>
      <c r="J5" s="60" t="s">
        <v>79</v>
      </c>
      <c r="K5" s="60" t="s">
        <v>77</v>
      </c>
      <c r="L5" s="60" t="s">
        <v>79</v>
      </c>
      <c r="M5" s="299"/>
    </row>
    <row r="6" spans="1:13" ht="19.5" customHeight="1">
      <c r="A6" s="31" t="s">
        <v>3</v>
      </c>
      <c r="B6" s="34" t="s">
        <v>47</v>
      </c>
      <c r="C6" s="60"/>
      <c r="D6" s="60"/>
      <c r="E6" s="60"/>
      <c r="F6" s="60">
        <f>F7+F8</f>
        <v>8740000000</v>
      </c>
      <c r="G6" s="60"/>
      <c r="H6" s="60">
        <f>H7+H8</f>
        <v>23860800000</v>
      </c>
      <c r="I6" s="60"/>
      <c r="J6" s="60">
        <f>J7+J8</f>
        <v>4043200000</v>
      </c>
      <c r="K6" s="60"/>
      <c r="L6" s="60">
        <f>L7+L8</f>
        <v>5187000000</v>
      </c>
      <c r="M6" s="300">
        <f>SUM(F6:L6)</f>
        <v>41831000000</v>
      </c>
    </row>
    <row r="7" spans="1:13" ht="19.5" customHeight="1">
      <c r="A7" s="61">
        <v>1</v>
      </c>
      <c r="B7" s="62" t="s">
        <v>48</v>
      </c>
      <c r="C7" s="61">
        <v>160000</v>
      </c>
      <c r="D7" s="61" t="s">
        <v>91</v>
      </c>
      <c r="E7" s="61"/>
      <c r="F7" s="61">
        <f>E7*C7</f>
        <v>0</v>
      </c>
      <c r="G7" s="61">
        <v>170</v>
      </c>
      <c r="H7" s="61">
        <f>G7*C7</f>
        <v>27200000</v>
      </c>
      <c r="I7" s="61">
        <v>0</v>
      </c>
      <c r="J7" s="61">
        <f>I7*C7</f>
        <v>0</v>
      </c>
      <c r="K7" s="61">
        <v>0</v>
      </c>
      <c r="L7" s="61">
        <f>K7*C7</f>
        <v>0</v>
      </c>
      <c r="M7" s="299"/>
    </row>
    <row r="8" spans="1:13" ht="19.5" customHeight="1">
      <c r="A8" s="63">
        <v>2</v>
      </c>
      <c r="B8" s="62" t="s">
        <v>49</v>
      </c>
      <c r="C8" s="61">
        <v>38000</v>
      </c>
      <c r="D8" s="61" t="s">
        <v>91</v>
      </c>
      <c r="E8" s="61">
        <v>230000</v>
      </c>
      <c r="F8" s="61">
        <f>E8*C8</f>
        <v>8740000000</v>
      </c>
      <c r="G8" s="61">
        <v>627200</v>
      </c>
      <c r="H8" s="61">
        <f>G8*C8</f>
        <v>23833600000</v>
      </c>
      <c r="I8" s="61">
        <v>106400</v>
      </c>
      <c r="J8" s="61">
        <f>I8*C8</f>
        <v>4043200000</v>
      </c>
      <c r="K8" s="61">
        <v>136500</v>
      </c>
      <c r="L8" s="61">
        <f>K8*C8</f>
        <v>5187000000</v>
      </c>
      <c r="M8" s="299"/>
    </row>
    <row r="9" spans="1:13" ht="19.5" customHeight="1">
      <c r="A9" s="31" t="s">
        <v>12</v>
      </c>
      <c r="B9" s="34" t="s">
        <v>58</v>
      </c>
      <c r="C9" s="60"/>
      <c r="D9" s="60"/>
      <c r="E9" s="60"/>
      <c r="F9" s="60">
        <f>F10+F11+F12</f>
        <v>7913640000</v>
      </c>
      <c r="G9" s="60"/>
      <c r="H9" s="60">
        <f>H10+H11+H12</f>
        <v>12735400000</v>
      </c>
      <c r="I9" s="60"/>
      <c r="J9" s="60">
        <f>J10+J11+J12</f>
        <v>20642760000</v>
      </c>
      <c r="K9" s="60"/>
      <c r="L9" s="60">
        <f>L10+L11+L12</f>
        <v>23969460000.000004</v>
      </c>
      <c r="M9" s="300">
        <f>SUM(F9:L9)</f>
        <v>65261260000</v>
      </c>
    </row>
    <row r="10" spans="1:13" ht="19.5" customHeight="1">
      <c r="A10" s="61">
        <v>1</v>
      </c>
      <c r="B10" s="62" t="s">
        <v>59</v>
      </c>
      <c r="C10" s="61">
        <v>7000</v>
      </c>
      <c r="D10" s="61" t="s">
        <v>91</v>
      </c>
      <c r="E10" s="61">
        <f>E8</f>
        <v>230000</v>
      </c>
      <c r="F10" s="61">
        <f>E10*C10</f>
        <v>1610000000</v>
      </c>
      <c r="G10" s="61">
        <f>G8</f>
        <v>627200</v>
      </c>
      <c r="H10" s="61">
        <f>G10*C10</f>
        <v>4390400000</v>
      </c>
      <c r="I10" s="61">
        <f>I8</f>
        <v>106400</v>
      </c>
      <c r="J10" s="61">
        <f>I10*C10</f>
        <v>744800000</v>
      </c>
      <c r="K10" s="61">
        <f>K8</f>
        <v>136500</v>
      </c>
      <c r="L10" s="61">
        <f>K10*C10</f>
        <v>955500000</v>
      </c>
      <c r="M10" s="299"/>
    </row>
    <row r="11" spans="1:13" ht="23.25" customHeight="1">
      <c r="A11" s="61">
        <v>2</v>
      </c>
      <c r="B11" s="62" t="s">
        <v>110</v>
      </c>
      <c r="C11" s="61">
        <v>22000</v>
      </c>
      <c r="D11" s="61" t="s">
        <v>93</v>
      </c>
      <c r="E11" s="61">
        <f>132.81*2000</f>
        <v>265620</v>
      </c>
      <c r="F11" s="61">
        <f>E11*C11</f>
        <v>5843640000</v>
      </c>
      <c r="G11" s="61">
        <f>161.15*2000</f>
        <v>322300</v>
      </c>
      <c r="H11" s="61">
        <f>G11*C11</f>
        <v>7090600000</v>
      </c>
      <c r="I11" s="61">
        <f>447.39*2000</f>
        <v>894780</v>
      </c>
      <c r="J11" s="61">
        <f>I11*C11</f>
        <v>19685160000</v>
      </c>
      <c r="K11" s="61">
        <f>516.84*2000</f>
        <v>1033680.0000000001</v>
      </c>
      <c r="L11" s="61">
        <f>K11*C11</f>
        <v>22740960000.000004</v>
      </c>
      <c r="M11" s="299"/>
    </row>
    <row r="12" spans="1:13" ht="19.5" customHeight="1">
      <c r="A12" s="63">
        <v>3</v>
      </c>
      <c r="B12" s="64" t="s">
        <v>104</v>
      </c>
      <c r="C12" s="63">
        <v>2000</v>
      </c>
      <c r="D12" s="61" t="s">
        <v>91</v>
      </c>
      <c r="E12" s="65">
        <f>E8</f>
        <v>230000</v>
      </c>
      <c r="F12" s="63">
        <f>E12*C12</f>
        <v>460000000</v>
      </c>
      <c r="G12" s="65">
        <f>G8</f>
        <v>627200</v>
      </c>
      <c r="H12" s="63">
        <f>G12*C12</f>
        <v>1254400000</v>
      </c>
      <c r="I12" s="65">
        <f>I8</f>
        <v>106400</v>
      </c>
      <c r="J12" s="63">
        <f>I12*C12</f>
        <v>212800000</v>
      </c>
      <c r="K12" s="65">
        <f>K8</f>
        <v>136500</v>
      </c>
      <c r="L12" s="63">
        <f>K12*C12</f>
        <v>273000000</v>
      </c>
      <c r="M12" s="299"/>
    </row>
    <row r="13" spans="1:13" s="69" customFormat="1" ht="19.5" customHeight="1">
      <c r="A13" s="66"/>
      <c r="B13" s="67" t="s">
        <v>11</v>
      </c>
      <c r="C13" s="68"/>
      <c r="D13" s="68"/>
      <c r="E13" s="68"/>
      <c r="F13" s="60">
        <f>F9+F6</f>
        <v>16653640000</v>
      </c>
      <c r="G13" s="68"/>
      <c r="H13" s="60">
        <f>H9+H6</f>
        <v>36596200000</v>
      </c>
      <c r="I13" s="68"/>
      <c r="J13" s="60">
        <f>J9+J6</f>
        <v>24685960000</v>
      </c>
      <c r="K13" s="68"/>
      <c r="L13" s="60">
        <f>L9+L6</f>
        <v>29156460000.000004</v>
      </c>
      <c r="M13" s="300">
        <f>SUM(F13:L13)</f>
        <v>107092260000</v>
      </c>
    </row>
    <row r="15" ht="16.5">
      <c r="F15" s="70"/>
    </row>
    <row r="25" ht="16.5">
      <c r="F25" s="70">
        <f>F13+H13+J13+L13</f>
        <v>107092260000</v>
      </c>
    </row>
  </sheetData>
  <sheetProtection/>
  <mergeCells count="7">
    <mergeCell ref="A1:L1"/>
    <mergeCell ref="A4:A5"/>
    <mergeCell ref="B4:B5"/>
    <mergeCell ref="E4:F4"/>
    <mergeCell ref="G4:H4"/>
    <mergeCell ref="I4:J4"/>
    <mergeCell ref="K4:L4"/>
  </mergeCells>
  <printOptions horizontalCentered="1"/>
  <pageMargins left="0.7" right="0.7" top="1.25" bottom="0.75" header="0.3" footer="0.3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48">
      <selection activeCell="D39" sqref="D39"/>
    </sheetView>
  </sheetViews>
  <sheetFormatPr defaultColWidth="9.140625" defaultRowHeight="15"/>
  <cols>
    <col min="1" max="1" width="5.8515625" style="72" customWidth="1"/>
    <col min="2" max="2" width="37.28125" style="107" customWidth="1"/>
    <col min="3" max="3" width="9.140625" style="72" customWidth="1"/>
    <col min="4" max="4" width="14.7109375" style="108" customWidth="1"/>
    <col min="5" max="5" width="18.7109375" style="109" customWidth="1"/>
    <col min="6" max="6" width="15.28125" style="109" customWidth="1"/>
    <col min="7" max="16384" width="9.140625" style="72" customWidth="1"/>
  </cols>
  <sheetData>
    <row r="1" spans="1:6" ht="15.75">
      <c r="A1" s="387" t="s">
        <v>6</v>
      </c>
      <c r="B1" s="387"/>
      <c r="C1" s="387"/>
      <c r="D1" s="387"/>
      <c r="E1" s="387"/>
      <c r="F1" s="387"/>
    </row>
    <row r="3" spans="1:6" ht="15.75">
      <c r="A3" s="73" t="s">
        <v>112</v>
      </c>
      <c r="B3" s="74" t="s">
        <v>113</v>
      </c>
      <c r="C3" s="73" t="s">
        <v>114</v>
      </c>
      <c r="D3" s="75" t="s">
        <v>77</v>
      </c>
      <c r="E3" s="76" t="s">
        <v>115</v>
      </c>
      <c r="F3" s="76" t="s">
        <v>116</v>
      </c>
    </row>
    <row r="4" spans="1:6" ht="15.75">
      <c r="A4" s="77">
        <v>1</v>
      </c>
      <c r="B4" s="78" t="s">
        <v>117</v>
      </c>
      <c r="C4" s="77" t="s">
        <v>118</v>
      </c>
      <c r="D4" s="80">
        <f>8024.37+3443.9</f>
        <v>11468.27</v>
      </c>
      <c r="E4" s="81">
        <v>15</v>
      </c>
      <c r="F4" s="81">
        <f>E4*D4</f>
        <v>172024.05000000002</v>
      </c>
    </row>
    <row r="5" spans="1:6" ht="15.75">
      <c r="A5" s="77">
        <v>2</v>
      </c>
      <c r="B5" s="78" t="s">
        <v>119</v>
      </c>
      <c r="C5" s="77" t="s">
        <v>118</v>
      </c>
      <c r="D5" s="80">
        <f>44064.31</f>
        <v>44064.31</v>
      </c>
      <c r="E5" s="81">
        <v>20</v>
      </c>
      <c r="F5" s="81">
        <f>E5*D5</f>
        <v>881286.2</v>
      </c>
    </row>
    <row r="6" spans="1:6" ht="15.75">
      <c r="A6" s="77">
        <v>3</v>
      </c>
      <c r="B6" s="78" t="s">
        <v>120</v>
      </c>
      <c r="C6" s="77" t="s">
        <v>118</v>
      </c>
      <c r="D6" s="80">
        <v>45595.62</v>
      </c>
      <c r="E6" s="81">
        <v>13</v>
      </c>
      <c r="F6" s="81">
        <f>E6*D6</f>
        <v>592743.06</v>
      </c>
    </row>
    <row r="7" spans="1:6" ht="15.75">
      <c r="A7" s="77">
        <v>4</v>
      </c>
      <c r="B7" s="78" t="s">
        <v>121</v>
      </c>
      <c r="C7" s="77" t="s">
        <v>118</v>
      </c>
      <c r="D7" s="80">
        <f>D4</f>
        <v>11468.27</v>
      </c>
      <c r="E7" s="81">
        <v>24</v>
      </c>
      <c r="F7" s="81">
        <f>E7*D7</f>
        <v>275238.48</v>
      </c>
    </row>
    <row r="8" spans="1:6" ht="15.75">
      <c r="A8" s="77">
        <v>5</v>
      </c>
      <c r="B8" s="78" t="s">
        <v>122</v>
      </c>
      <c r="C8" s="77" t="s">
        <v>118</v>
      </c>
      <c r="D8" s="80">
        <v>45595.62</v>
      </c>
      <c r="E8" s="81">
        <v>29</v>
      </c>
      <c r="F8" s="81">
        <f>E8*D8</f>
        <v>1322272.98</v>
      </c>
    </row>
    <row r="9" spans="1:6" ht="15.75">
      <c r="A9" s="77"/>
      <c r="B9" s="74" t="s">
        <v>123</v>
      </c>
      <c r="C9" s="77"/>
      <c r="D9" s="81"/>
      <c r="E9" s="81"/>
      <c r="F9" s="76">
        <f>F8+F7+F6+F5+F4</f>
        <v>3243564.7699999996</v>
      </c>
    </row>
    <row r="10" spans="1:6" ht="15.75">
      <c r="A10" s="77"/>
      <c r="B10" s="78" t="s">
        <v>124</v>
      </c>
      <c r="C10" s="77"/>
      <c r="D10" s="81">
        <v>10</v>
      </c>
      <c r="E10" s="81"/>
      <c r="F10" s="81">
        <f>F9/10</f>
        <v>324356.47699999996</v>
      </c>
    </row>
    <row r="11" spans="1:6" ht="15.75">
      <c r="A11" s="77"/>
      <c r="B11" s="74" t="s">
        <v>125</v>
      </c>
      <c r="C11" s="77"/>
      <c r="D11" s="81"/>
      <c r="E11" s="81"/>
      <c r="F11" s="76">
        <f>F10+F9</f>
        <v>3567921.2469999995</v>
      </c>
    </row>
    <row r="13" spans="1:6" ht="15.75">
      <c r="A13" s="387" t="s">
        <v>126</v>
      </c>
      <c r="B13" s="387"/>
      <c r="C13" s="387"/>
      <c r="D13" s="387"/>
      <c r="E13" s="387"/>
      <c r="F13" s="387"/>
    </row>
    <row r="14" spans="1:6" ht="15.75">
      <c r="A14" s="73" t="s">
        <v>112</v>
      </c>
      <c r="B14" s="74" t="s">
        <v>113</v>
      </c>
      <c r="C14" s="73" t="s">
        <v>114</v>
      </c>
      <c r="D14" s="75" t="s">
        <v>77</v>
      </c>
      <c r="E14" s="76" t="s">
        <v>115</v>
      </c>
      <c r="F14" s="76" t="s">
        <v>116</v>
      </c>
    </row>
    <row r="15" spans="1:6" ht="15.75">
      <c r="A15" s="73" t="s">
        <v>3</v>
      </c>
      <c r="B15" s="82" t="s">
        <v>127</v>
      </c>
      <c r="C15" s="83" t="s">
        <v>128</v>
      </c>
      <c r="D15" s="75">
        <f>D16+D17+D18+D19+D20+D21</f>
        <v>896</v>
      </c>
      <c r="E15" s="76"/>
      <c r="F15" s="76">
        <f>F16+F17+F18+F19+F20+F21</f>
        <v>1344000</v>
      </c>
    </row>
    <row r="16" spans="1:6" ht="15.75">
      <c r="A16" s="77">
        <v>1</v>
      </c>
      <c r="B16" s="84" t="s">
        <v>129</v>
      </c>
      <c r="C16" s="85" t="s">
        <v>128</v>
      </c>
      <c r="D16" s="86">
        <v>229</v>
      </c>
      <c r="E16" s="87">
        <v>1500</v>
      </c>
      <c r="F16" s="87">
        <f>E16*D16</f>
        <v>343500</v>
      </c>
    </row>
    <row r="17" spans="1:6" ht="15.75">
      <c r="A17" s="77">
        <v>2</v>
      </c>
      <c r="B17" s="84" t="s">
        <v>130</v>
      </c>
      <c r="C17" s="85" t="s">
        <v>128</v>
      </c>
      <c r="D17" s="86">
        <v>168</v>
      </c>
      <c r="E17" s="87">
        <v>1500</v>
      </c>
      <c r="F17" s="87">
        <f>E17*D17</f>
        <v>252000</v>
      </c>
    </row>
    <row r="18" spans="1:6" ht="15.75">
      <c r="A18" s="77">
        <v>3</v>
      </c>
      <c r="B18" s="84" t="s">
        <v>131</v>
      </c>
      <c r="C18" s="85" t="s">
        <v>128</v>
      </c>
      <c r="D18" s="86">
        <v>100</v>
      </c>
      <c r="E18" s="87">
        <v>1500</v>
      </c>
      <c r="F18" s="87">
        <f>E18*D18</f>
        <v>150000</v>
      </c>
    </row>
    <row r="19" spans="1:6" ht="15.75">
      <c r="A19" s="77">
        <v>4</v>
      </c>
      <c r="B19" s="84" t="s">
        <v>132</v>
      </c>
      <c r="C19" s="85" t="s">
        <v>128</v>
      </c>
      <c r="D19" s="86">
        <v>115</v>
      </c>
      <c r="E19" s="87">
        <v>1500</v>
      </c>
      <c r="F19" s="87">
        <f>E19*D19</f>
        <v>172500</v>
      </c>
    </row>
    <row r="20" spans="1:6" ht="15.75">
      <c r="A20" s="77">
        <v>5</v>
      </c>
      <c r="B20" s="84" t="s">
        <v>133</v>
      </c>
      <c r="C20" s="85" t="s">
        <v>128</v>
      </c>
      <c r="D20" s="86">
        <v>110</v>
      </c>
      <c r="E20" s="87">
        <v>1500</v>
      </c>
      <c r="F20" s="87">
        <f>E20*D20</f>
        <v>165000</v>
      </c>
    </row>
    <row r="21" spans="1:6" ht="15.75">
      <c r="A21" s="77">
        <v>6</v>
      </c>
      <c r="B21" s="84" t="s">
        <v>134</v>
      </c>
      <c r="C21" s="85" t="s">
        <v>128</v>
      </c>
      <c r="D21" s="86">
        <v>174</v>
      </c>
      <c r="E21" s="87">
        <v>1500</v>
      </c>
      <c r="F21" s="87">
        <f>E21*D21</f>
        <v>261000</v>
      </c>
    </row>
    <row r="22" spans="1:6" ht="15.75">
      <c r="A22" s="73" t="s">
        <v>12</v>
      </c>
      <c r="B22" s="88" t="s">
        <v>135</v>
      </c>
      <c r="C22" s="85" t="s">
        <v>128</v>
      </c>
      <c r="D22" s="75">
        <f>D23+D24</f>
        <v>3220</v>
      </c>
      <c r="E22" s="76"/>
      <c r="F22" s="89">
        <f>F23+F24</f>
        <v>4830000</v>
      </c>
    </row>
    <row r="23" spans="1:6" ht="15.75">
      <c r="A23" s="90">
        <v>1</v>
      </c>
      <c r="B23" s="84" t="s">
        <v>136</v>
      </c>
      <c r="C23" s="85" t="s">
        <v>128</v>
      </c>
      <c r="D23" s="86">
        <v>1360</v>
      </c>
      <c r="E23" s="87">
        <v>1500</v>
      </c>
      <c r="F23" s="87">
        <f>E23*D23</f>
        <v>2040000</v>
      </c>
    </row>
    <row r="24" spans="1:6" ht="15.75">
      <c r="A24" s="90">
        <v>2</v>
      </c>
      <c r="B24" s="84" t="s">
        <v>137</v>
      </c>
      <c r="C24" s="85" t="s">
        <v>128</v>
      </c>
      <c r="D24" s="86">
        <v>1860</v>
      </c>
      <c r="E24" s="87">
        <v>1500</v>
      </c>
      <c r="F24" s="87">
        <f>E24*D24</f>
        <v>2790000</v>
      </c>
    </row>
    <row r="25" spans="1:6" ht="15.75">
      <c r="A25" s="73" t="s">
        <v>16</v>
      </c>
      <c r="B25" s="88" t="s">
        <v>138</v>
      </c>
      <c r="C25" s="85" t="s">
        <v>128</v>
      </c>
      <c r="D25" s="75">
        <f>D26</f>
        <v>1522</v>
      </c>
      <c r="E25" s="89"/>
      <c r="F25" s="76">
        <f>F26</f>
        <v>1522000</v>
      </c>
    </row>
    <row r="26" spans="1:6" ht="15.75">
      <c r="A26" s="77"/>
      <c r="B26" s="91" t="s">
        <v>139</v>
      </c>
      <c r="C26" s="85" t="s">
        <v>128</v>
      </c>
      <c r="D26" s="92">
        <v>1522</v>
      </c>
      <c r="E26" s="87">
        <v>1000</v>
      </c>
      <c r="F26" s="87">
        <f>E26*D26</f>
        <v>1522000</v>
      </c>
    </row>
    <row r="27" spans="1:6" ht="15.75">
      <c r="A27" s="73" t="s">
        <v>30</v>
      </c>
      <c r="B27" s="74" t="s">
        <v>140</v>
      </c>
      <c r="C27" s="73"/>
      <c r="D27" s="75"/>
      <c r="E27" s="76"/>
      <c r="F27" s="76">
        <f>F25+F22+F15</f>
        <v>7696000</v>
      </c>
    </row>
    <row r="28" spans="1:6" ht="15.75">
      <c r="A28" s="73" t="s">
        <v>141</v>
      </c>
      <c r="B28" s="88" t="s">
        <v>142</v>
      </c>
      <c r="C28" s="73"/>
      <c r="D28" s="75"/>
      <c r="E28" s="76"/>
      <c r="F28" s="76">
        <f>(F25+F22+F15)/10</f>
        <v>769600</v>
      </c>
    </row>
    <row r="29" spans="1:6" ht="15.75">
      <c r="A29" s="77"/>
      <c r="B29" s="82" t="s">
        <v>143</v>
      </c>
      <c r="C29" s="85"/>
      <c r="D29" s="86"/>
      <c r="E29" s="87"/>
      <c r="F29" s="89">
        <f>F28+F27</f>
        <v>8465600</v>
      </c>
    </row>
    <row r="31" spans="1:6" ht="15.75">
      <c r="A31" s="387" t="s">
        <v>144</v>
      </c>
      <c r="B31" s="387"/>
      <c r="C31" s="387"/>
      <c r="D31" s="387"/>
      <c r="E31" s="387"/>
      <c r="F31" s="387"/>
    </row>
    <row r="32" spans="1:6" s="93" customFormat="1" ht="15.75">
      <c r="A32" s="73" t="s">
        <v>112</v>
      </c>
      <c r="B32" s="74" t="s">
        <v>113</v>
      </c>
      <c r="C32" s="73" t="s">
        <v>114</v>
      </c>
      <c r="D32" s="75" t="s">
        <v>77</v>
      </c>
      <c r="E32" s="76" t="s">
        <v>115</v>
      </c>
      <c r="F32" s="76" t="s">
        <v>116</v>
      </c>
    </row>
    <row r="33" spans="1:6" s="93" customFormat="1" ht="15.75">
      <c r="A33" s="77">
        <v>1</v>
      </c>
      <c r="B33" s="78" t="s">
        <v>145</v>
      </c>
      <c r="C33" s="77" t="s">
        <v>128</v>
      </c>
      <c r="D33" s="92">
        <v>3000</v>
      </c>
      <c r="E33" s="81">
        <v>630</v>
      </c>
      <c r="F33" s="81">
        <f>E33*D33</f>
        <v>1890000</v>
      </c>
    </row>
    <row r="34" spans="1:6" s="93" customFormat="1" ht="15.75">
      <c r="A34" s="77">
        <v>2</v>
      </c>
      <c r="B34" s="78" t="s">
        <v>146</v>
      </c>
      <c r="C34" s="77" t="s">
        <v>128</v>
      </c>
      <c r="D34" s="92">
        <v>193</v>
      </c>
      <c r="E34" s="81">
        <v>680</v>
      </c>
      <c r="F34" s="81">
        <f>E34*D34</f>
        <v>131240</v>
      </c>
    </row>
    <row r="35" spans="1:6" s="93" customFormat="1" ht="15.75">
      <c r="A35" s="77">
        <v>3</v>
      </c>
      <c r="B35" s="78" t="s">
        <v>147</v>
      </c>
      <c r="C35" s="77" t="s">
        <v>128</v>
      </c>
      <c r="D35" s="92">
        <v>169</v>
      </c>
      <c r="E35" s="81">
        <v>626</v>
      </c>
      <c r="F35" s="81">
        <f>E35*D35</f>
        <v>105794</v>
      </c>
    </row>
    <row r="36" spans="1:6" s="93" customFormat="1" ht="15.75">
      <c r="A36" s="77">
        <v>4</v>
      </c>
      <c r="B36" s="78" t="s">
        <v>148</v>
      </c>
      <c r="C36" s="77" t="s">
        <v>128</v>
      </c>
      <c r="D36" s="92">
        <v>819</v>
      </c>
      <c r="E36" s="81">
        <v>580</v>
      </c>
      <c r="F36" s="81">
        <f>E36*D36</f>
        <v>475020</v>
      </c>
    </row>
    <row r="37" spans="1:6" s="93" customFormat="1" ht="15.75">
      <c r="A37" s="77">
        <v>5</v>
      </c>
      <c r="B37" s="78" t="s">
        <v>149</v>
      </c>
      <c r="C37" s="77" t="s">
        <v>150</v>
      </c>
      <c r="D37" s="92">
        <v>25</v>
      </c>
      <c r="E37" s="81">
        <f>F36+F35+F34+F33</f>
        <v>2602054</v>
      </c>
      <c r="F37" s="81">
        <f>E37*25/100</f>
        <v>650513.5</v>
      </c>
    </row>
    <row r="38" spans="1:6" s="93" customFormat="1" ht="15.75">
      <c r="A38" s="77">
        <v>6</v>
      </c>
      <c r="B38" s="78" t="s">
        <v>151</v>
      </c>
      <c r="C38" s="77" t="s">
        <v>152</v>
      </c>
      <c r="D38" s="92">
        <v>3</v>
      </c>
      <c r="E38" s="81">
        <v>2200</v>
      </c>
      <c r="F38" s="81">
        <f>E38*D38</f>
        <v>6600</v>
      </c>
    </row>
    <row r="39" spans="1:6" s="94" customFormat="1" ht="15.75">
      <c r="A39" s="77">
        <v>7</v>
      </c>
      <c r="B39" s="78" t="s">
        <v>153</v>
      </c>
      <c r="C39" s="77" t="s">
        <v>118</v>
      </c>
      <c r="D39" s="92">
        <v>3</v>
      </c>
      <c r="E39" s="81">
        <v>8500</v>
      </c>
      <c r="F39" s="81">
        <f>E39*D39</f>
        <v>25500</v>
      </c>
    </row>
    <row r="40" spans="1:6" s="93" customFormat="1" ht="15.75">
      <c r="A40" s="77">
        <v>8</v>
      </c>
      <c r="B40" s="78" t="s">
        <v>154</v>
      </c>
      <c r="C40" s="77" t="s">
        <v>118</v>
      </c>
      <c r="D40" s="92">
        <v>15</v>
      </c>
      <c r="E40" s="81">
        <v>6000</v>
      </c>
      <c r="F40" s="81">
        <f>E40*D40</f>
        <v>90000</v>
      </c>
    </row>
    <row r="41" spans="1:6" s="93" customFormat="1" ht="15.75">
      <c r="A41" s="77">
        <v>9</v>
      </c>
      <c r="B41" s="78" t="s">
        <v>155</v>
      </c>
      <c r="C41" s="77" t="s">
        <v>156</v>
      </c>
      <c r="D41" s="92">
        <v>1</v>
      </c>
      <c r="E41" s="95" t="s">
        <v>0</v>
      </c>
      <c r="F41" s="81">
        <v>60000</v>
      </c>
    </row>
    <row r="42" spans="1:6" s="93" customFormat="1" ht="15.75">
      <c r="A42" s="77">
        <v>10</v>
      </c>
      <c r="B42" s="74" t="s">
        <v>157</v>
      </c>
      <c r="C42" s="73"/>
      <c r="D42" s="75"/>
      <c r="E42" s="76"/>
      <c r="F42" s="81">
        <f>F41+F40+F39+F38+F37+F36+F35+F34+F33</f>
        <v>3434667.5</v>
      </c>
    </row>
    <row r="43" spans="1:6" s="93" customFormat="1" ht="15.75">
      <c r="A43" s="77">
        <v>11</v>
      </c>
      <c r="B43" s="78" t="s">
        <v>142</v>
      </c>
      <c r="C43" s="73" t="s">
        <v>150</v>
      </c>
      <c r="D43" s="92">
        <v>10</v>
      </c>
      <c r="E43" s="81"/>
      <c r="F43" s="81">
        <f>F42/10</f>
        <v>343466.75</v>
      </c>
    </row>
    <row r="44" spans="1:6" s="93" customFormat="1" ht="15.75">
      <c r="A44" s="77">
        <v>12</v>
      </c>
      <c r="B44" s="74" t="s">
        <v>158</v>
      </c>
      <c r="C44" s="73"/>
      <c r="D44" s="75"/>
      <c r="E44" s="76"/>
      <c r="F44" s="95">
        <f>F43+F42</f>
        <v>3778134.25</v>
      </c>
    </row>
    <row r="46" spans="1:6" ht="15.75">
      <c r="A46" s="387" t="s">
        <v>159</v>
      </c>
      <c r="B46" s="387"/>
      <c r="C46" s="387"/>
      <c r="D46" s="387"/>
      <c r="E46" s="387"/>
      <c r="F46" s="387"/>
    </row>
    <row r="48" spans="1:6" ht="15.75" customHeight="1">
      <c r="A48" s="83" t="s">
        <v>112</v>
      </c>
      <c r="B48" s="82" t="s">
        <v>113</v>
      </c>
      <c r="C48" s="83" t="s">
        <v>114</v>
      </c>
      <c r="D48" s="96" t="s">
        <v>77</v>
      </c>
      <c r="E48" s="89" t="s">
        <v>160</v>
      </c>
      <c r="F48" s="89" t="s">
        <v>161</v>
      </c>
    </row>
    <row r="49" spans="1:6" ht="15.75">
      <c r="A49" s="85">
        <v>1</v>
      </c>
      <c r="B49" s="84" t="s">
        <v>162</v>
      </c>
      <c r="C49" s="85" t="s">
        <v>128</v>
      </c>
      <c r="D49" s="86">
        <v>360</v>
      </c>
      <c r="E49" s="87">
        <v>1950</v>
      </c>
      <c r="F49" s="87">
        <f>E49*D49</f>
        <v>702000</v>
      </c>
    </row>
    <row r="50" spans="1:6" ht="15.75">
      <c r="A50" s="85">
        <v>2</v>
      </c>
      <c r="B50" s="84" t="s">
        <v>163</v>
      </c>
      <c r="C50" s="85" t="s">
        <v>128</v>
      </c>
      <c r="D50" s="86">
        <v>9</v>
      </c>
      <c r="E50" s="87">
        <v>2000</v>
      </c>
      <c r="F50" s="87">
        <f>E50*D50</f>
        <v>18000</v>
      </c>
    </row>
    <row r="51" spans="1:6" ht="15.75">
      <c r="A51" s="85">
        <v>3</v>
      </c>
      <c r="B51" s="84" t="s">
        <v>164</v>
      </c>
      <c r="C51" s="85" t="s">
        <v>128</v>
      </c>
      <c r="D51" s="86">
        <v>693</v>
      </c>
      <c r="E51" s="87">
        <v>1050</v>
      </c>
      <c r="F51" s="87">
        <f>E51*D51</f>
        <v>727650</v>
      </c>
    </row>
    <row r="52" spans="1:6" ht="15.75">
      <c r="A52" s="85">
        <v>4</v>
      </c>
      <c r="B52" s="84" t="s">
        <v>165</v>
      </c>
      <c r="C52" s="85" t="s">
        <v>128</v>
      </c>
      <c r="D52" s="86">
        <v>24</v>
      </c>
      <c r="E52" s="87">
        <v>1100</v>
      </c>
      <c r="F52" s="87">
        <f>E52*D52</f>
        <v>26400</v>
      </c>
    </row>
    <row r="53" spans="1:6" ht="15.75">
      <c r="A53" s="85">
        <v>5</v>
      </c>
      <c r="B53" s="84" t="s">
        <v>166</v>
      </c>
      <c r="C53" s="85" t="s">
        <v>128</v>
      </c>
      <c r="D53" s="86">
        <v>271</v>
      </c>
      <c r="E53" s="87">
        <v>890</v>
      </c>
      <c r="F53" s="87">
        <f>E53*D53</f>
        <v>241190</v>
      </c>
    </row>
    <row r="54" spans="1:6" ht="15.75">
      <c r="A54" s="85">
        <v>6</v>
      </c>
      <c r="B54" s="84" t="s">
        <v>167</v>
      </c>
      <c r="C54" s="85" t="s">
        <v>152</v>
      </c>
      <c r="D54" s="86">
        <v>29</v>
      </c>
      <c r="E54" s="87">
        <v>5950</v>
      </c>
      <c r="F54" s="87">
        <f>E54*D54</f>
        <v>172550</v>
      </c>
    </row>
    <row r="55" spans="1:6" ht="15.75">
      <c r="A55" s="85">
        <v>7</v>
      </c>
      <c r="B55" s="84" t="s">
        <v>168</v>
      </c>
      <c r="C55" s="85" t="s">
        <v>152</v>
      </c>
      <c r="D55" s="86">
        <v>1</v>
      </c>
      <c r="E55" s="87">
        <v>8000</v>
      </c>
      <c r="F55" s="87">
        <f>E55*D55</f>
        <v>8000</v>
      </c>
    </row>
    <row r="56" spans="1:6" ht="15.75">
      <c r="A56" s="85">
        <v>8</v>
      </c>
      <c r="B56" s="84" t="s">
        <v>169</v>
      </c>
      <c r="C56" s="85" t="s">
        <v>152</v>
      </c>
      <c r="D56" s="86">
        <v>1</v>
      </c>
      <c r="E56" s="87">
        <v>15000</v>
      </c>
      <c r="F56" s="87">
        <f>E56*D56</f>
        <v>15000</v>
      </c>
    </row>
    <row r="57" spans="1:6" ht="15.75">
      <c r="A57" s="85">
        <v>9</v>
      </c>
      <c r="B57" s="84" t="s">
        <v>170</v>
      </c>
      <c r="C57" s="85" t="s">
        <v>152</v>
      </c>
      <c r="D57" s="86">
        <v>1</v>
      </c>
      <c r="E57" s="87">
        <v>20000</v>
      </c>
      <c r="F57" s="87">
        <f>E57*D57</f>
        <v>20000</v>
      </c>
    </row>
    <row r="58" spans="1:6" ht="15.75">
      <c r="A58" s="85">
        <v>10</v>
      </c>
      <c r="B58" s="84" t="s">
        <v>157</v>
      </c>
      <c r="C58" s="85"/>
      <c r="D58" s="86"/>
      <c r="E58" s="87"/>
      <c r="F58" s="87">
        <f>F57+F56+F55+F54+F53+F52+F51+F50+F49</f>
        <v>1930790</v>
      </c>
    </row>
    <row r="59" spans="1:6" ht="15.75">
      <c r="A59" s="85">
        <v>11</v>
      </c>
      <c r="B59" s="84" t="s">
        <v>142</v>
      </c>
      <c r="C59" s="85" t="s">
        <v>150</v>
      </c>
      <c r="D59" s="86">
        <v>10</v>
      </c>
      <c r="E59" s="87"/>
      <c r="F59" s="87">
        <f>F58/10</f>
        <v>193079</v>
      </c>
    </row>
    <row r="60" spans="1:6" ht="15.75">
      <c r="A60" s="85">
        <v>10</v>
      </c>
      <c r="B60" s="82" t="s">
        <v>158</v>
      </c>
      <c r="C60" s="85"/>
      <c r="D60" s="86"/>
      <c r="E60" s="87"/>
      <c r="F60" s="87">
        <f>F59+F58</f>
        <v>2123869</v>
      </c>
    </row>
    <row r="63" spans="1:6" ht="15.75">
      <c r="A63" s="387" t="s">
        <v>171</v>
      </c>
      <c r="B63" s="387"/>
      <c r="C63" s="387"/>
      <c r="D63" s="387"/>
      <c r="E63" s="387"/>
      <c r="F63" s="387"/>
    </row>
    <row r="65" spans="1:6" ht="31.5">
      <c r="A65" s="83" t="s">
        <v>0</v>
      </c>
      <c r="B65" s="114" t="s">
        <v>113</v>
      </c>
      <c r="C65" s="83" t="s">
        <v>22</v>
      </c>
      <c r="D65" s="96" t="s">
        <v>77</v>
      </c>
      <c r="E65" s="89" t="s">
        <v>160</v>
      </c>
      <c r="F65" s="89" t="s">
        <v>172</v>
      </c>
    </row>
    <row r="66" spans="1:6" ht="31.5">
      <c r="A66" s="97">
        <v>1</v>
      </c>
      <c r="B66" s="98" t="s">
        <v>173</v>
      </c>
      <c r="C66" s="97" t="s">
        <v>174</v>
      </c>
      <c r="D66" s="99">
        <v>400</v>
      </c>
      <c r="E66" s="100">
        <v>3690</v>
      </c>
      <c r="F66" s="100">
        <f>E66*D66</f>
        <v>1476000</v>
      </c>
    </row>
    <row r="67" spans="1:6" ht="31.5">
      <c r="A67" s="101">
        <v>2</v>
      </c>
      <c r="B67" s="98" t="s">
        <v>175</v>
      </c>
      <c r="C67" s="101" t="s">
        <v>176</v>
      </c>
      <c r="D67" s="102">
        <v>0.96</v>
      </c>
      <c r="E67" s="87">
        <v>626250</v>
      </c>
      <c r="F67" s="87">
        <f>E67*D67</f>
        <v>601200</v>
      </c>
    </row>
    <row r="68" spans="1:6" ht="31.5">
      <c r="A68" s="101">
        <v>3</v>
      </c>
      <c r="B68" s="98" t="s">
        <v>177</v>
      </c>
      <c r="C68" s="101" t="s">
        <v>176</v>
      </c>
      <c r="D68" s="102">
        <v>5</v>
      </c>
      <c r="E68" s="87">
        <v>238770</v>
      </c>
      <c r="F68" s="87">
        <f>E68*D68</f>
        <v>1193850</v>
      </c>
    </row>
    <row r="69" spans="1:6" ht="15.75">
      <c r="A69" s="101">
        <v>4</v>
      </c>
      <c r="B69" s="98" t="s">
        <v>178</v>
      </c>
      <c r="C69" s="101"/>
      <c r="D69" s="102"/>
      <c r="E69" s="87"/>
      <c r="F69" s="87">
        <f>F68+F67+F66</f>
        <v>3271050</v>
      </c>
    </row>
    <row r="70" spans="1:6" ht="15.75">
      <c r="A70" s="101">
        <v>5</v>
      </c>
      <c r="B70" s="98" t="s">
        <v>142</v>
      </c>
      <c r="C70" s="103" t="s">
        <v>150</v>
      </c>
      <c r="D70" s="104">
        <v>10</v>
      </c>
      <c r="E70" s="89"/>
      <c r="F70" s="89">
        <f>F69/10</f>
        <v>327105</v>
      </c>
    </row>
    <row r="71" spans="1:6" ht="15.75">
      <c r="A71" s="101">
        <v>6</v>
      </c>
      <c r="B71" s="105" t="s">
        <v>18</v>
      </c>
      <c r="C71" s="103"/>
      <c r="D71" s="104"/>
      <c r="E71" s="89"/>
      <c r="F71" s="106">
        <f>F70+F69</f>
        <v>3598155</v>
      </c>
    </row>
  </sheetData>
  <sheetProtection/>
  <mergeCells count="5">
    <mergeCell ref="A63:F63"/>
    <mergeCell ref="A1:F1"/>
    <mergeCell ref="A13:F13"/>
    <mergeCell ref="A31:F31"/>
    <mergeCell ref="A46:F4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B64" sqref="B64"/>
    </sheetView>
  </sheetViews>
  <sheetFormatPr defaultColWidth="9.140625" defaultRowHeight="15"/>
  <cols>
    <col min="1" max="1" width="9.140625" style="110" customWidth="1"/>
    <col min="2" max="2" width="39.28125" style="110" customWidth="1"/>
    <col min="3" max="3" width="13.140625" style="111" customWidth="1"/>
    <col min="4" max="4" width="13.7109375" style="112" customWidth="1"/>
    <col min="5" max="5" width="14.7109375" style="113" customWidth="1"/>
    <col min="6" max="6" width="22.8515625" style="113" customWidth="1"/>
    <col min="7" max="16384" width="9.140625" style="110" customWidth="1"/>
  </cols>
  <sheetData>
    <row r="1" spans="1:6" ht="15">
      <c r="A1" s="388" t="s">
        <v>179</v>
      </c>
      <c r="B1" s="388"/>
      <c r="C1" s="388"/>
      <c r="D1" s="388"/>
      <c r="E1" s="388"/>
      <c r="F1" s="388"/>
    </row>
    <row r="2" spans="1:3" ht="15">
      <c r="A2" s="110"/>
      <c r="B2" s="110">
        <f>40170.53*0.2-147530.41</f>
        <v>-139496.304</v>
      </c>
      <c r="C2" s="111">
        <f>34047.74*0.35</f>
        <v>11916.708999999999</v>
      </c>
    </row>
    <row r="3" spans="1:6" s="111" customFormat="1" ht="15.75">
      <c r="A3" s="114" t="s">
        <v>0</v>
      </c>
      <c r="B3" s="114" t="s">
        <v>113</v>
      </c>
      <c r="C3" s="114" t="s">
        <v>22</v>
      </c>
      <c r="D3" s="114" t="s">
        <v>180</v>
      </c>
      <c r="E3" s="115" t="s">
        <v>181</v>
      </c>
      <c r="F3" s="115" t="s">
        <v>182</v>
      </c>
    </row>
    <row r="4" spans="1:6" ht="15.75">
      <c r="A4" s="116">
        <v>1</v>
      </c>
      <c r="B4" s="116" t="s">
        <v>117</v>
      </c>
      <c r="C4" s="117" t="s">
        <v>118</v>
      </c>
      <c r="D4" s="118">
        <v>19950.81</v>
      </c>
      <c r="E4" s="119">
        <v>15</v>
      </c>
      <c r="F4" s="119">
        <f>E4*D4</f>
        <v>299262.15</v>
      </c>
    </row>
    <row r="5" spans="1:6" ht="15.75">
      <c r="A5" s="116">
        <v>2</v>
      </c>
      <c r="B5" s="116" t="s">
        <v>119</v>
      </c>
      <c r="C5" s="117" t="s">
        <v>118</v>
      </c>
      <c r="D5" s="118">
        <f>139496.3</f>
        <v>139496.3</v>
      </c>
      <c r="E5" s="119">
        <v>20</v>
      </c>
      <c r="F5" s="119">
        <f>E5*D5</f>
        <v>2789926</v>
      </c>
    </row>
    <row r="6" spans="1:6" ht="15.75">
      <c r="A6" s="116">
        <v>3</v>
      </c>
      <c r="B6" s="116" t="s">
        <v>120</v>
      </c>
      <c r="C6" s="117" t="s">
        <v>118</v>
      </c>
      <c r="D6" s="118">
        <f>148019.37</f>
        <v>148019.37</v>
      </c>
      <c r="E6" s="119">
        <v>13</v>
      </c>
      <c r="F6" s="119">
        <f>E6*D6</f>
        <v>1924251.81</v>
      </c>
    </row>
    <row r="7" spans="1:6" ht="15.75">
      <c r="A7" s="116">
        <v>4</v>
      </c>
      <c r="B7" s="116" t="s">
        <v>121</v>
      </c>
      <c r="C7" s="117" t="s">
        <v>118</v>
      </c>
      <c r="D7" s="118">
        <f>D4</f>
        <v>19950.81</v>
      </c>
      <c r="E7" s="119">
        <v>24</v>
      </c>
      <c r="F7" s="119">
        <f>E7*D7</f>
        <v>478819.44000000006</v>
      </c>
    </row>
    <row r="8" spans="1:6" ht="15.75">
      <c r="A8" s="116">
        <v>5</v>
      </c>
      <c r="B8" s="116" t="s">
        <v>122</v>
      </c>
      <c r="C8" s="117" t="s">
        <v>118</v>
      </c>
      <c r="D8" s="118">
        <f>9631.06</f>
        <v>9631.06</v>
      </c>
      <c r="E8" s="119">
        <v>29</v>
      </c>
      <c r="F8" s="119">
        <f>E8*D8</f>
        <v>279300.74</v>
      </c>
    </row>
    <row r="9" spans="1:6" ht="15.75">
      <c r="A9" s="116"/>
      <c r="B9" s="120" t="s">
        <v>183</v>
      </c>
      <c r="C9" s="117" t="s">
        <v>184</v>
      </c>
      <c r="D9" s="121"/>
      <c r="E9" s="119"/>
      <c r="F9" s="122">
        <f>F8+F7+F6+F5+F4</f>
        <v>5771560.140000001</v>
      </c>
    </row>
    <row r="10" spans="1:6" ht="15.75">
      <c r="A10" s="116"/>
      <c r="B10" s="116" t="s">
        <v>124</v>
      </c>
      <c r="C10" s="117" t="s">
        <v>150</v>
      </c>
      <c r="D10" s="121">
        <v>10</v>
      </c>
      <c r="E10" s="119"/>
      <c r="F10" s="119">
        <f>F9/10</f>
        <v>577156.0140000001</v>
      </c>
    </row>
    <row r="11" spans="1:6" ht="15.75">
      <c r="A11" s="116"/>
      <c r="B11" s="120" t="s">
        <v>125</v>
      </c>
      <c r="C11" s="117"/>
      <c r="D11" s="121"/>
      <c r="E11" s="119"/>
      <c r="F11" s="122">
        <f>F10+F9</f>
        <v>6348716.154000001</v>
      </c>
    </row>
    <row r="13" spans="1:6" ht="15">
      <c r="A13" s="388" t="s">
        <v>126</v>
      </c>
      <c r="B13" s="388"/>
      <c r="C13" s="388"/>
      <c r="D13" s="388"/>
      <c r="E13" s="388"/>
      <c r="F13" s="388"/>
    </row>
    <row r="15" spans="1:6" ht="33">
      <c r="A15" s="123" t="s">
        <v>0</v>
      </c>
      <c r="B15" s="114" t="s">
        <v>113</v>
      </c>
      <c r="C15" s="124" t="s">
        <v>22</v>
      </c>
      <c r="D15" s="196" t="s">
        <v>77</v>
      </c>
      <c r="E15" s="125" t="s">
        <v>181</v>
      </c>
      <c r="F15" s="125" t="s">
        <v>182</v>
      </c>
    </row>
    <row r="16" spans="1:6" ht="16.5">
      <c r="A16" s="126">
        <v>1</v>
      </c>
      <c r="B16" s="127" t="s">
        <v>129</v>
      </c>
      <c r="C16" s="126" t="s">
        <v>128</v>
      </c>
      <c r="D16" s="128">
        <v>209.97</v>
      </c>
      <c r="E16" s="129">
        <v>2200</v>
      </c>
      <c r="F16" s="129">
        <f>E16*D16</f>
        <v>461934</v>
      </c>
    </row>
    <row r="17" spans="1:9" ht="16.5">
      <c r="A17" s="126">
        <v>2</v>
      </c>
      <c r="B17" s="127" t="s">
        <v>130</v>
      </c>
      <c r="C17" s="126" t="s">
        <v>128</v>
      </c>
      <c r="D17" s="128">
        <v>433.91</v>
      </c>
      <c r="E17" s="129">
        <v>1500</v>
      </c>
      <c r="F17" s="129">
        <f>E17*D17</f>
        <v>650865</v>
      </c>
      <c r="I17" s="110">
        <f>D16+D17+D18+D19+D20+D21+D22+D23+D24+D25+D26</f>
        <v>6611.36</v>
      </c>
    </row>
    <row r="18" spans="1:6" ht="16.5">
      <c r="A18" s="126">
        <v>3</v>
      </c>
      <c r="B18" s="127" t="s">
        <v>131</v>
      </c>
      <c r="C18" s="126" t="s">
        <v>128</v>
      </c>
      <c r="D18" s="128">
        <v>476.41</v>
      </c>
      <c r="E18" s="129">
        <v>1500</v>
      </c>
      <c r="F18" s="129">
        <f>E18*D18</f>
        <v>714615</v>
      </c>
    </row>
    <row r="19" spans="1:6" ht="16.5">
      <c r="A19" s="126">
        <v>4</v>
      </c>
      <c r="B19" s="127" t="s">
        <v>132</v>
      </c>
      <c r="C19" s="126" t="s">
        <v>128</v>
      </c>
      <c r="D19" s="128">
        <v>226.35</v>
      </c>
      <c r="E19" s="129">
        <v>1500</v>
      </c>
      <c r="F19" s="129">
        <f>E19*D19</f>
        <v>339525</v>
      </c>
    </row>
    <row r="20" spans="1:6" ht="16.5">
      <c r="A20" s="126">
        <v>5</v>
      </c>
      <c r="B20" s="127" t="s">
        <v>133</v>
      </c>
      <c r="C20" s="126" t="s">
        <v>128</v>
      </c>
      <c r="D20" s="128">
        <v>140.56</v>
      </c>
      <c r="E20" s="129">
        <v>1500</v>
      </c>
      <c r="F20" s="129">
        <f>E20*D20</f>
        <v>210840</v>
      </c>
    </row>
    <row r="21" spans="1:6" ht="16.5">
      <c r="A21" s="126">
        <v>6</v>
      </c>
      <c r="B21" s="127" t="s">
        <v>134</v>
      </c>
      <c r="C21" s="126" t="s">
        <v>128</v>
      </c>
      <c r="D21" s="128">
        <v>140.5</v>
      </c>
      <c r="E21" s="129">
        <v>1500</v>
      </c>
      <c r="F21" s="129">
        <f>E21*D21</f>
        <v>210750</v>
      </c>
    </row>
    <row r="22" spans="1:6" ht="16.5">
      <c r="A22" s="126">
        <v>7</v>
      </c>
      <c r="B22" s="127" t="s">
        <v>185</v>
      </c>
      <c r="C22" s="126" t="s">
        <v>128</v>
      </c>
      <c r="D22" s="128">
        <v>198</v>
      </c>
      <c r="E22" s="129">
        <v>1500</v>
      </c>
      <c r="F22" s="129">
        <f>E22*D22</f>
        <v>297000</v>
      </c>
    </row>
    <row r="23" spans="1:6" ht="16.5">
      <c r="A23" s="126">
        <v>8</v>
      </c>
      <c r="B23" s="127" t="s">
        <v>186</v>
      </c>
      <c r="C23" s="126" t="s">
        <v>128</v>
      </c>
      <c r="D23" s="128">
        <v>190.66</v>
      </c>
      <c r="E23" s="129">
        <v>1500</v>
      </c>
      <c r="F23" s="129">
        <f>E23*D23</f>
        <v>285990</v>
      </c>
    </row>
    <row r="24" spans="1:6" ht="16.5">
      <c r="A24" s="126">
        <v>9</v>
      </c>
      <c r="B24" s="127" t="s">
        <v>187</v>
      </c>
      <c r="C24" s="126" t="s">
        <v>128</v>
      </c>
      <c r="D24" s="128">
        <v>57.5</v>
      </c>
      <c r="E24" s="129">
        <v>1500</v>
      </c>
      <c r="F24" s="129">
        <f>E24*D24</f>
        <v>86250</v>
      </c>
    </row>
    <row r="25" spans="1:6" ht="16.5">
      <c r="A25" s="126">
        <v>10</v>
      </c>
      <c r="B25" s="127" t="s">
        <v>188</v>
      </c>
      <c r="C25" s="126" t="s">
        <v>128</v>
      </c>
      <c r="D25" s="128">
        <v>57.5</v>
      </c>
      <c r="E25" s="129">
        <v>1500</v>
      </c>
      <c r="F25" s="129">
        <f>E25*D25</f>
        <v>86250</v>
      </c>
    </row>
    <row r="26" spans="1:6" ht="16.5">
      <c r="A26" s="126">
        <v>11</v>
      </c>
      <c r="B26" s="127" t="s">
        <v>189</v>
      </c>
      <c r="C26" s="126" t="s">
        <v>128</v>
      </c>
      <c r="D26" s="128">
        <v>4480</v>
      </c>
      <c r="E26" s="129">
        <v>1000</v>
      </c>
      <c r="F26" s="129">
        <f>E26*D26</f>
        <v>4480000</v>
      </c>
    </row>
    <row r="27" spans="1:6" ht="16.5">
      <c r="A27" s="130"/>
      <c r="B27" s="130"/>
      <c r="C27" s="131"/>
      <c r="D27" s="132"/>
      <c r="E27" s="133"/>
      <c r="F27" s="129">
        <f>F26+F25+F24+F23+F22+F21+F20+F19+F18+F17+F16</f>
        <v>7824019</v>
      </c>
    </row>
    <row r="28" spans="1:6" ht="16.5">
      <c r="A28" s="127"/>
      <c r="B28" s="127" t="s">
        <v>142</v>
      </c>
      <c r="C28" s="126" t="s">
        <v>150</v>
      </c>
      <c r="D28" s="128">
        <v>10</v>
      </c>
      <c r="E28" s="129"/>
      <c r="F28" s="125">
        <f>F27/10</f>
        <v>782401.9</v>
      </c>
    </row>
    <row r="29" spans="1:6" ht="16.5">
      <c r="A29" s="127"/>
      <c r="B29" s="123" t="s">
        <v>125</v>
      </c>
      <c r="C29" s="126"/>
      <c r="D29" s="128"/>
      <c r="E29" s="129"/>
      <c r="F29" s="125">
        <f>F28+F27</f>
        <v>8606420.9</v>
      </c>
    </row>
    <row r="30" ht="15">
      <c r="C30" s="111">
        <f>D16+D17+D18+D19+D20+D21+D22+D23+D24+D25</f>
        <v>2131.3599999999997</v>
      </c>
    </row>
    <row r="31" spans="1:6" ht="15">
      <c r="A31" s="388" t="s">
        <v>144</v>
      </c>
      <c r="B31" s="388"/>
      <c r="C31" s="388"/>
      <c r="D31" s="388"/>
      <c r="E31" s="388"/>
      <c r="F31" s="388"/>
    </row>
    <row r="33" spans="1:6" ht="16.5">
      <c r="A33" s="134" t="s">
        <v>0</v>
      </c>
      <c r="B33" s="134" t="s">
        <v>113</v>
      </c>
      <c r="C33" s="135" t="s">
        <v>114</v>
      </c>
      <c r="D33" s="136" t="s">
        <v>77</v>
      </c>
      <c r="E33" s="9" t="s">
        <v>190</v>
      </c>
      <c r="F33" s="9" t="s">
        <v>182</v>
      </c>
    </row>
    <row r="34" spans="1:6" ht="16.5">
      <c r="A34" s="137">
        <v>1</v>
      </c>
      <c r="B34" s="138" t="s">
        <v>191</v>
      </c>
      <c r="C34" s="137" t="s">
        <v>128</v>
      </c>
      <c r="D34" s="139">
        <v>3000</v>
      </c>
      <c r="E34" s="140">
        <v>1100</v>
      </c>
      <c r="F34" s="141">
        <f>E34*D34</f>
        <v>3300000</v>
      </c>
    </row>
    <row r="35" spans="1:6" ht="16.5">
      <c r="A35" s="137">
        <v>2</v>
      </c>
      <c r="B35" s="138" t="s">
        <v>192</v>
      </c>
      <c r="C35" s="137" t="s">
        <v>128</v>
      </c>
      <c r="D35" s="139">
        <v>109</v>
      </c>
      <c r="E35" s="140">
        <v>1210</v>
      </c>
      <c r="F35" s="141">
        <f>E35*D35</f>
        <v>131890</v>
      </c>
    </row>
    <row r="36" spans="1:6" ht="16.5">
      <c r="A36" s="137">
        <v>3</v>
      </c>
      <c r="B36" s="142" t="s">
        <v>193</v>
      </c>
      <c r="C36" s="137" t="s">
        <v>128</v>
      </c>
      <c r="D36" s="139">
        <v>91</v>
      </c>
      <c r="E36" s="140">
        <v>680</v>
      </c>
      <c r="F36" s="141">
        <f>E36*D36</f>
        <v>61880</v>
      </c>
    </row>
    <row r="37" spans="1:6" ht="16.5">
      <c r="A37" s="137">
        <v>4</v>
      </c>
      <c r="B37" s="142" t="s">
        <v>194</v>
      </c>
      <c r="C37" s="137" t="s">
        <v>128</v>
      </c>
      <c r="D37" s="139">
        <v>408</v>
      </c>
      <c r="E37" s="140">
        <v>626</v>
      </c>
      <c r="F37" s="141">
        <f>E37*D37</f>
        <v>255408</v>
      </c>
    </row>
    <row r="38" spans="1:6" ht="16.5">
      <c r="A38" s="137">
        <v>5</v>
      </c>
      <c r="B38" s="142" t="s">
        <v>195</v>
      </c>
      <c r="C38" s="137" t="s">
        <v>128</v>
      </c>
      <c r="D38" s="139">
        <v>1608</v>
      </c>
      <c r="E38" s="140">
        <v>580</v>
      </c>
      <c r="F38" s="141">
        <f>E38*D38</f>
        <v>932640</v>
      </c>
    </row>
    <row r="39" spans="1:6" ht="16.5">
      <c r="A39" s="137">
        <v>6</v>
      </c>
      <c r="B39" s="142" t="s">
        <v>149</v>
      </c>
      <c r="C39" s="137" t="s">
        <v>150</v>
      </c>
      <c r="D39" s="139">
        <v>25</v>
      </c>
      <c r="E39" s="140">
        <f>F34+F35+F36+F37+F38</f>
        <v>4681818</v>
      </c>
      <c r="F39" s="141">
        <f>(F38+F37+F36+F35+F34)*25/100</f>
        <v>1170454.5</v>
      </c>
    </row>
    <row r="40" spans="1:6" ht="16.5">
      <c r="A40" s="137">
        <v>7</v>
      </c>
      <c r="B40" s="142" t="s">
        <v>151</v>
      </c>
      <c r="C40" s="137" t="s">
        <v>152</v>
      </c>
      <c r="D40" s="139">
        <v>3</v>
      </c>
      <c r="E40" s="140">
        <v>2200</v>
      </c>
      <c r="F40" s="141">
        <f>E40*D40</f>
        <v>6600</v>
      </c>
    </row>
    <row r="41" spans="1:6" s="144" customFormat="1" ht="16.5">
      <c r="A41" s="137">
        <v>8</v>
      </c>
      <c r="B41" s="142" t="s">
        <v>196</v>
      </c>
      <c r="C41" s="137" t="s">
        <v>197</v>
      </c>
      <c r="D41" s="139">
        <v>1</v>
      </c>
      <c r="E41" s="143" t="s">
        <v>0</v>
      </c>
      <c r="F41" s="141">
        <v>1700000</v>
      </c>
    </row>
    <row r="42" spans="1:6" ht="16.5">
      <c r="A42" s="137">
        <v>9</v>
      </c>
      <c r="B42" s="66" t="s">
        <v>157</v>
      </c>
      <c r="C42" s="135"/>
      <c r="D42" s="136"/>
      <c r="E42" s="9"/>
      <c r="F42" s="9">
        <f>F41+F40+F39+F38+F37+F36+F35+F34</f>
        <v>7558872.5</v>
      </c>
    </row>
    <row r="43" spans="1:6" ht="16.5">
      <c r="A43" s="137">
        <v>10</v>
      </c>
      <c r="B43" s="145" t="s">
        <v>142</v>
      </c>
      <c r="C43" s="135" t="s">
        <v>150</v>
      </c>
      <c r="D43" s="139">
        <v>10</v>
      </c>
      <c r="E43" s="140"/>
      <c r="F43" s="141">
        <f>F42/10</f>
        <v>755887.25</v>
      </c>
    </row>
    <row r="44" spans="1:6" ht="16.5">
      <c r="A44" s="137">
        <v>11</v>
      </c>
      <c r="B44" s="66" t="s">
        <v>158</v>
      </c>
      <c r="C44" s="135"/>
      <c r="D44" s="136"/>
      <c r="E44" s="9"/>
      <c r="F44" s="9">
        <f>F43+F42</f>
        <v>8314759.75</v>
      </c>
    </row>
    <row r="46" spans="1:6" ht="15">
      <c r="A46" s="388" t="s">
        <v>159</v>
      </c>
      <c r="B46" s="388"/>
      <c r="C46" s="388"/>
      <c r="D46" s="388"/>
      <c r="E46" s="388"/>
      <c r="F46" s="388"/>
    </row>
    <row r="48" spans="1:6" s="150" customFormat="1" ht="31.5">
      <c r="A48" s="146" t="s">
        <v>112</v>
      </c>
      <c r="B48" s="146" t="s">
        <v>113</v>
      </c>
      <c r="C48" s="147" t="s">
        <v>114</v>
      </c>
      <c r="D48" s="148" t="s">
        <v>77</v>
      </c>
      <c r="E48" s="149" t="s">
        <v>181</v>
      </c>
      <c r="F48" s="149" t="s">
        <v>198</v>
      </c>
    </row>
    <row r="49" spans="1:6" ht="15.75">
      <c r="A49" s="151">
        <v>1</v>
      </c>
      <c r="B49" s="152" t="s">
        <v>162</v>
      </c>
      <c r="C49" s="151" t="s">
        <v>128</v>
      </c>
      <c r="D49" s="153">
        <v>1932</v>
      </c>
      <c r="E49" s="154">
        <v>1950</v>
      </c>
      <c r="F49" s="154">
        <f>E49*D49</f>
        <v>3767400</v>
      </c>
    </row>
    <row r="50" spans="1:6" ht="15.75">
      <c r="A50" s="151">
        <v>2</v>
      </c>
      <c r="B50" s="152" t="s">
        <v>163</v>
      </c>
      <c r="C50" s="151" t="s">
        <v>128</v>
      </c>
      <c r="D50" s="153">
        <v>24</v>
      </c>
      <c r="E50" s="154">
        <v>2000</v>
      </c>
      <c r="F50" s="154">
        <f>E50*D50</f>
        <v>48000</v>
      </c>
    </row>
    <row r="51" spans="1:6" ht="15.75">
      <c r="A51" s="151">
        <v>3</v>
      </c>
      <c r="B51" s="152" t="s">
        <v>164</v>
      </c>
      <c r="C51" s="151" t="s">
        <v>128</v>
      </c>
      <c r="D51" s="153">
        <v>1095</v>
      </c>
      <c r="E51" s="154">
        <v>1050</v>
      </c>
      <c r="F51" s="154">
        <f>E51*D51</f>
        <v>1149750</v>
      </c>
    </row>
    <row r="52" spans="1:6" ht="15.75">
      <c r="A52" s="151">
        <v>4</v>
      </c>
      <c r="B52" s="152" t="s">
        <v>165</v>
      </c>
      <c r="C52" s="151" t="s">
        <v>128</v>
      </c>
      <c r="D52" s="153">
        <v>28</v>
      </c>
      <c r="E52" s="154">
        <v>1100</v>
      </c>
      <c r="F52" s="154">
        <f>E52*D52</f>
        <v>30800</v>
      </c>
    </row>
    <row r="53" spans="1:6" ht="15.75">
      <c r="A53" s="151">
        <v>5</v>
      </c>
      <c r="B53" s="152" t="s">
        <v>166</v>
      </c>
      <c r="C53" s="151" t="s">
        <v>128</v>
      </c>
      <c r="D53" s="153">
        <v>208</v>
      </c>
      <c r="E53" s="154">
        <v>890</v>
      </c>
      <c r="F53" s="154">
        <f>E53*D53</f>
        <v>185120</v>
      </c>
    </row>
    <row r="54" spans="1:6" ht="15.75">
      <c r="A54" s="151">
        <v>6</v>
      </c>
      <c r="B54" s="152" t="s">
        <v>167</v>
      </c>
      <c r="C54" s="151" t="s">
        <v>152</v>
      </c>
      <c r="D54" s="153">
        <v>40</v>
      </c>
      <c r="E54" s="154">
        <v>5950</v>
      </c>
      <c r="F54" s="154">
        <f>E54*D54</f>
        <v>238000</v>
      </c>
    </row>
    <row r="55" spans="1:6" ht="15.75">
      <c r="A55" s="151">
        <v>7</v>
      </c>
      <c r="B55" s="152" t="s">
        <v>168</v>
      </c>
      <c r="C55" s="151" t="s">
        <v>152</v>
      </c>
      <c r="D55" s="153">
        <v>1</v>
      </c>
      <c r="E55" s="154">
        <v>8000</v>
      </c>
      <c r="F55" s="154">
        <f>E55*D55</f>
        <v>8000</v>
      </c>
    </row>
    <row r="56" spans="1:6" ht="15.75">
      <c r="A56" s="151">
        <v>8</v>
      </c>
      <c r="B56" s="152" t="s">
        <v>169</v>
      </c>
      <c r="C56" s="151" t="s">
        <v>152</v>
      </c>
      <c r="D56" s="153">
        <v>2</v>
      </c>
      <c r="E56" s="154">
        <v>15000</v>
      </c>
      <c r="F56" s="154">
        <f>E56*D56</f>
        <v>30000</v>
      </c>
    </row>
    <row r="57" spans="1:6" ht="15.75">
      <c r="A57" s="151">
        <v>9</v>
      </c>
      <c r="B57" s="152" t="s">
        <v>170</v>
      </c>
      <c r="C57" s="151" t="s">
        <v>152</v>
      </c>
      <c r="D57" s="153">
        <v>1</v>
      </c>
      <c r="E57" s="154">
        <v>20000</v>
      </c>
      <c r="F57" s="154">
        <f>E57*D57</f>
        <v>20000</v>
      </c>
    </row>
    <row r="58" spans="1:6" ht="15.75">
      <c r="A58" s="151">
        <v>10</v>
      </c>
      <c r="B58" s="152" t="s">
        <v>157</v>
      </c>
      <c r="C58" s="151"/>
      <c r="D58" s="153"/>
      <c r="E58" s="154"/>
      <c r="F58" s="149">
        <f>F57+F56+F55+F54+F53+F52+F51+F50+F49</f>
        <v>5477070</v>
      </c>
    </row>
    <row r="59" spans="1:6" ht="15.75">
      <c r="A59" s="151">
        <v>11</v>
      </c>
      <c r="B59" s="152" t="s">
        <v>142</v>
      </c>
      <c r="C59" s="151" t="s">
        <v>150</v>
      </c>
      <c r="D59" s="153">
        <v>10</v>
      </c>
      <c r="E59" s="154"/>
      <c r="F59" s="154">
        <f>F58/10</f>
        <v>547707</v>
      </c>
    </row>
    <row r="60" spans="1:6" ht="15.75">
      <c r="A60" s="151">
        <v>12</v>
      </c>
      <c r="B60" s="146" t="s">
        <v>158</v>
      </c>
      <c r="C60" s="151"/>
      <c r="D60" s="153"/>
      <c r="E60" s="154"/>
      <c r="F60" s="149">
        <f>F59+F58</f>
        <v>6024777</v>
      </c>
    </row>
    <row r="62" spans="1:6" ht="15">
      <c r="A62" s="388" t="s">
        <v>199</v>
      </c>
      <c r="B62" s="388"/>
      <c r="C62" s="388"/>
      <c r="D62" s="388"/>
      <c r="E62" s="388"/>
      <c r="F62" s="388"/>
    </row>
    <row r="64" spans="1:6" ht="33">
      <c r="A64" s="155" t="s">
        <v>0</v>
      </c>
      <c r="B64" s="114" t="s">
        <v>113</v>
      </c>
      <c r="C64" s="155" t="s">
        <v>22</v>
      </c>
      <c r="D64" s="156" t="s">
        <v>77</v>
      </c>
      <c r="E64" s="157" t="s">
        <v>181</v>
      </c>
      <c r="F64" s="157" t="s">
        <v>182</v>
      </c>
    </row>
    <row r="65" spans="1:6" ht="16.5">
      <c r="A65" s="158">
        <v>1</v>
      </c>
      <c r="B65" s="127" t="s">
        <v>200</v>
      </c>
      <c r="C65" s="158" t="s">
        <v>176</v>
      </c>
      <c r="D65" s="159">
        <v>1.726</v>
      </c>
      <c r="E65" s="160">
        <v>280697</v>
      </c>
      <c r="F65" s="160">
        <f>E65*D65</f>
        <v>484483.022</v>
      </c>
    </row>
    <row r="66" spans="1:6" ht="16.5">
      <c r="A66" s="158">
        <v>2</v>
      </c>
      <c r="B66" s="127" t="s">
        <v>201</v>
      </c>
      <c r="C66" s="158" t="s">
        <v>176</v>
      </c>
      <c r="D66" s="159">
        <v>1.726</v>
      </c>
      <c r="E66" s="160">
        <v>626530</v>
      </c>
      <c r="F66" s="160">
        <f>E66*D66</f>
        <v>1081390.78</v>
      </c>
    </row>
    <row r="67" spans="1:6" ht="16.5">
      <c r="A67" s="158">
        <v>3</v>
      </c>
      <c r="B67" s="127" t="s">
        <v>202</v>
      </c>
      <c r="C67" s="158" t="s">
        <v>176</v>
      </c>
      <c r="D67" s="161">
        <v>0.2</v>
      </c>
      <c r="E67" s="160">
        <v>219810</v>
      </c>
      <c r="F67" s="160">
        <f>E67*D67</f>
        <v>43962</v>
      </c>
    </row>
    <row r="68" spans="1:6" ht="16.5">
      <c r="A68" s="158">
        <v>4</v>
      </c>
      <c r="B68" s="127" t="s">
        <v>203</v>
      </c>
      <c r="C68" s="158" t="s">
        <v>204</v>
      </c>
      <c r="D68" s="161">
        <v>180</v>
      </c>
      <c r="E68" s="160">
        <v>5970</v>
      </c>
      <c r="F68" s="160">
        <f>E68*D68</f>
        <v>1074600</v>
      </c>
    </row>
    <row r="69" spans="1:6" ht="16.5">
      <c r="A69" s="158">
        <v>5</v>
      </c>
      <c r="B69" s="127" t="s">
        <v>205</v>
      </c>
      <c r="C69" s="158" t="s">
        <v>204</v>
      </c>
      <c r="D69" s="161">
        <v>100</v>
      </c>
      <c r="E69" s="160">
        <v>8300</v>
      </c>
      <c r="F69" s="160">
        <f>E69*D69</f>
        <v>830000</v>
      </c>
    </row>
    <row r="70" spans="1:6" ht="16.5">
      <c r="A70" s="158">
        <v>6</v>
      </c>
      <c r="B70" s="127" t="s">
        <v>206</v>
      </c>
      <c r="C70" s="158" t="s">
        <v>207</v>
      </c>
      <c r="D70" s="161">
        <v>1</v>
      </c>
      <c r="E70" s="160">
        <v>15000</v>
      </c>
      <c r="F70" s="160">
        <f>E70*D70</f>
        <v>15000</v>
      </c>
    </row>
    <row r="71" spans="1:6" ht="16.5">
      <c r="A71" s="158">
        <v>7</v>
      </c>
      <c r="B71" s="127" t="s">
        <v>208</v>
      </c>
      <c r="C71" s="158" t="s">
        <v>207</v>
      </c>
      <c r="D71" s="161">
        <v>2</v>
      </c>
      <c r="E71" s="160">
        <v>26130</v>
      </c>
      <c r="F71" s="160">
        <f>E71*D71</f>
        <v>52260</v>
      </c>
    </row>
    <row r="72" spans="1:6" ht="16.5">
      <c r="A72" s="158">
        <v>8</v>
      </c>
      <c r="B72" s="162" t="s">
        <v>209</v>
      </c>
      <c r="C72" s="158" t="s">
        <v>210</v>
      </c>
      <c r="D72" s="161">
        <v>59</v>
      </c>
      <c r="E72" s="160">
        <v>10055</v>
      </c>
      <c r="F72" s="160">
        <f>E72*D72</f>
        <v>593245</v>
      </c>
    </row>
    <row r="73" spans="1:6" ht="16.5">
      <c r="A73" s="158"/>
      <c r="B73" s="123" t="s">
        <v>211</v>
      </c>
      <c r="C73" s="158"/>
      <c r="D73" s="161"/>
      <c r="E73" s="160"/>
      <c r="F73" s="157">
        <f>F72+F71+F70+F69+F68+F67+F66+F65</f>
        <v>4174940.802</v>
      </c>
    </row>
    <row r="74" spans="1:6" ht="16.5">
      <c r="A74" s="158">
        <v>9</v>
      </c>
      <c r="B74" s="127" t="s">
        <v>142</v>
      </c>
      <c r="C74" s="158" t="s">
        <v>150</v>
      </c>
      <c r="D74" s="161">
        <v>10</v>
      </c>
      <c r="E74" s="160"/>
      <c r="F74" s="160">
        <f>F73/10</f>
        <v>417494.0802</v>
      </c>
    </row>
    <row r="75" spans="1:6" ht="16.5">
      <c r="A75" s="158"/>
      <c r="B75" s="123" t="s">
        <v>212</v>
      </c>
      <c r="C75" s="158"/>
      <c r="D75" s="161"/>
      <c r="E75" s="160"/>
      <c r="F75" s="157">
        <f>F74+F73</f>
        <v>4592434.8822</v>
      </c>
    </row>
  </sheetData>
  <sheetProtection/>
  <mergeCells count="5">
    <mergeCell ref="A62:F62"/>
    <mergeCell ref="A1:F1"/>
    <mergeCell ref="A13:F13"/>
    <mergeCell ref="A31:F31"/>
    <mergeCell ref="A46:F4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2"/>
  <sheetViews>
    <sheetView zoomScale="85" zoomScaleNormal="85" workbookViewId="0" topLeftCell="A1">
      <selection activeCell="A3" sqref="A3:F11"/>
    </sheetView>
  </sheetViews>
  <sheetFormatPr defaultColWidth="9.140625" defaultRowHeight="15"/>
  <cols>
    <col min="1" max="1" width="9.140625" style="110" customWidth="1"/>
    <col min="2" max="2" width="32.7109375" style="110" customWidth="1"/>
    <col min="3" max="3" width="11.140625" style="111" customWidth="1"/>
    <col min="4" max="4" width="15.00390625" style="112" customWidth="1"/>
    <col min="5" max="5" width="16.8515625" style="113" customWidth="1"/>
    <col min="6" max="6" width="16.7109375" style="113" customWidth="1"/>
    <col min="7" max="16384" width="9.140625" style="110" customWidth="1"/>
  </cols>
  <sheetData>
    <row r="1" spans="1:6" ht="15">
      <c r="A1" s="348" t="s">
        <v>179</v>
      </c>
      <c r="B1" s="348"/>
      <c r="C1" s="348"/>
      <c r="D1" s="348"/>
      <c r="E1" s="348"/>
      <c r="F1" s="348"/>
    </row>
    <row r="3" spans="1:7" ht="18.75" customHeight="1">
      <c r="A3" s="120" t="s">
        <v>0</v>
      </c>
      <c r="B3" s="120" t="s">
        <v>113</v>
      </c>
      <c r="C3" s="114" t="s">
        <v>22</v>
      </c>
      <c r="D3" s="163" t="s">
        <v>77</v>
      </c>
      <c r="E3" s="122" t="s">
        <v>181</v>
      </c>
      <c r="F3" s="122" t="s">
        <v>182</v>
      </c>
      <c r="G3" s="110"/>
    </row>
    <row r="4" spans="1:7" ht="18.75" customHeight="1">
      <c r="A4" s="116">
        <v>1</v>
      </c>
      <c r="B4" s="116" t="s">
        <v>117</v>
      </c>
      <c r="C4" s="117" t="s">
        <v>118</v>
      </c>
      <c r="D4" s="118">
        <v>9830.78</v>
      </c>
      <c r="E4" s="119">
        <v>15</v>
      </c>
      <c r="F4" s="119">
        <f>E4*D4</f>
        <v>147461.7</v>
      </c>
      <c r="G4" s="110"/>
    </row>
    <row r="5" spans="1:7" ht="18.75" customHeight="1">
      <c r="A5" s="116">
        <v>2</v>
      </c>
      <c r="B5" s="116" t="s">
        <v>119</v>
      </c>
      <c r="C5" s="117" t="s">
        <v>118</v>
      </c>
      <c r="D5" s="118">
        <v>266188.8</v>
      </c>
      <c r="E5" s="119">
        <v>20</v>
      </c>
      <c r="F5" s="119">
        <f>E5*D5</f>
        <v>5323776</v>
      </c>
      <c r="G5" s="110"/>
    </row>
    <row r="6" spans="1:7" ht="18.75" customHeight="1">
      <c r="A6" s="116">
        <v>3</v>
      </c>
      <c r="B6" s="116" t="s">
        <v>120</v>
      </c>
      <c r="C6" s="117" t="s">
        <v>118</v>
      </c>
      <c r="D6" s="118">
        <v>178166.17</v>
      </c>
      <c r="E6" s="119">
        <v>13</v>
      </c>
      <c r="F6" s="119">
        <f>E6*D6</f>
        <v>2316160.21</v>
      </c>
      <c r="G6" s="110"/>
    </row>
    <row r="7" spans="1:7" ht="18.75" customHeight="1">
      <c r="A7" s="116">
        <v>4</v>
      </c>
      <c r="B7" s="116" t="s">
        <v>121</v>
      </c>
      <c r="C7" s="117" t="s">
        <v>118</v>
      </c>
      <c r="D7" s="118">
        <f>D4</f>
        <v>9830.78</v>
      </c>
      <c r="E7" s="119">
        <v>24</v>
      </c>
      <c r="F7" s="119">
        <f>E7*D7</f>
        <v>235938.72000000003</v>
      </c>
      <c r="G7" s="110"/>
    </row>
    <row r="8" spans="1:7" ht="18.75" customHeight="1">
      <c r="A8" s="116">
        <v>5</v>
      </c>
      <c r="B8" s="116" t="s">
        <v>213</v>
      </c>
      <c r="C8" s="117" t="s">
        <v>118</v>
      </c>
      <c r="D8" s="118">
        <v>88022.63</v>
      </c>
      <c r="E8" s="119">
        <v>29</v>
      </c>
      <c r="F8" s="119">
        <f>E8*D8</f>
        <v>2552656.27</v>
      </c>
      <c r="G8" s="110"/>
    </row>
    <row r="9" spans="1:7" ht="18.75" customHeight="1">
      <c r="A9" s="164"/>
      <c r="B9" s="120" t="s">
        <v>231</v>
      </c>
      <c r="C9" s="117" t="s">
        <v>214</v>
      </c>
      <c r="D9" s="165"/>
      <c r="E9" s="119"/>
      <c r="F9" s="122">
        <f>F8+F7+F6+F5+F4</f>
        <v>10575992.899999999</v>
      </c>
      <c r="G9" s="110"/>
    </row>
    <row r="10" spans="1:7" ht="18.75" customHeight="1">
      <c r="A10" s="164"/>
      <c r="B10" s="116" t="s">
        <v>124</v>
      </c>
      <c r="C10" s="117" t="s">
        <v>150</v>
      </c>
      <c r="D10" s="121">
        <v>10</v>
      </c>
      <c r="E10" s="119"/>
      <c r="F10" s="119">
        <f>F9/10</f>
        <v>1057599.2899999998</v>
      </c>
      <c r="G10" s="110"/>
    </row>
    <row r="11" spans="1:7" ht="18.75" customHeight="1">
      <c r="A11" s="164"/>
      <c r="B11" s="120" t="s">
        <v>125</v>
      </c>
      <c r="C11" s="166"/>
      <c r="D11" s="165"/>
      <c r="E11" s="167"/>
      <c r="F11" s="122">
        <f>F10+F9</f>
        <v>11633592.189999998</v>
      </c>
      <c r="G11" s="110"/>
    </row>
    <row r="13" spans="1:6" ht="15">
      <c r="A13" s="388" t="s">
        <v>126</v>
      </c>
      <c r="B13" s="388"/>
      <c r="C13" s="388"/>
      <c r="D13" s="388"/>
      <c r="E13" s="388"/>
      <c r="F13" s="388"/>
    </row>
    <row r="15" spans="1:7" ht="31.5">
      <c r="A15" s="168" t="s">
        <v>0</v>
      </c>
      <c r="B15" s="120" t="s">
        <v>113</v>
      </c>
      <c r="C15" s="169" t="s">
        <v>22</v>
      </c>
      <c r="D15" s="196" t="s">
        <v>77</v>
      </c>
      <c r="E15" s="170" t="s">
        <v>181</v>
      </c>
      <c r="F15" s="170" t="s">
        <v>182</v>
      </c>
      <c r="G15" s="110"/>
    </row>
    <row r="16" spans="1:7" ht="15.75">
      <c r="A16" s="171">
        <v>1</v>
      </c>
      <c r="B16" s="171" t="s">
        <v>129</v>
      </c>
      <c r="C16" s="172" t="s">
        <v>128</v>
      </c>
      <c r="D16" s="173">
        <v>113.38</v>
      </c>
      <c r="E16" s="174">
        <v>1500</v>
      </c>
      <c r="F16" s="174">
        <f>E16*D16</f>
        <v>170070</v>
      </c>
      <c r="G16" s="110">
        <f>D16+D17+D18+D19+D20+D21</f>
        <v>2530.7</v>
      </c>
    </row>
    <row r="17" spans="1:6" ht="15.75">
      <c r="A17" s="171">
        <v>2</v>
      </c>
      <c r="B17" s="171" t="s">
        <v>130</v>
      </c>
      <c r="C17" s="172" t="s">
        <v>128</v>
      </c>
      <c r="D17" s="173">
        <v>123.17</v>
      </c>
      <c r="E17" s="174">
        <v>1500</v>
      </c>
      <c r="F17" s="174">
        <f>E17*D17</f>
        <v>184755</v>
      </c>
    </row>
    <row r="18" spans="1:6" ht="15.75">
      <c r="A18" s="171">
        <v>3</v>
      </c>
      <c r="B18" s="171" t="s">
        <v>131</v>
      </c>
      <c r="C18" s="172" t="s">
        <v>128</v>
      </c>
      <c r="D18" s="173">
        <v>111.5</v>
      </c>
      <c r="E18" s="174">
        <v>1500</v>
      </c>
      <c r="F18" s="174">
        <f>E18*D18</f>
        <v>167250</v>
      </c>
    </row>
    <row r="19" spans="1:6" ht="15.75">
      <c r="A19" s="171">
        <v>4</v>
      </c>
      <c r="B19" s="171" t="s">
        <v>132</v>
      </c>
      <c r="C19" s="172" t="s">
        <v>128</v>
      </c>
      <c r="D19" s="173">
        <v>599.9</v>
      </c>
      <c r="E19" s="174">
        <v>1500</v>
      </c>
      <c r="F19" s="174">
        <f>E19*D19</f>
        <v>899850</v>
      </c>
    </row>
    <row r="20" spans="1:6" ht="15.75">
      <c r="A20" s="171">
        <v>5</v>
      </c>
      <c r="B20" s="171" t="s">
        <v>133</v>
      </c>
      <c r="C20" s="172" t="s">
        <v>128</v>
      </c>
      <c r="D20" s="173">
        <v>132.75</v>
      </c>
      <c r="E20" s="174">
        <v>1500</v>
      </c>
      <c r="F20" s="174">
        <f>E20*D20</f>
        <v>199125</v>
      </c>
    </row>
    <row r="21" spans="1:6" ht="15.75">
      <c r="A21" s="171"/>
      <c r="B21" s="171" t="s">
        <v>215</v>
      </c>
      <c r="C21" s="172" t="s">
        <v>128</v>
      </c>
      <c r="D21" s="173">
        <v>1450</v>
      </c>
      <c r="E21" s="174">
        <v>1000</v>
      </c>
      <c r="F21" s="174">
        <f>E21*D21</f>
        <v>1450000</v>
      </c>
    </row>
    <row r="22" spans="1:6" ht="15.75">
      <c r="A22" s="130"/>
      <c r="B22" s="130" t="s">
        <v>216</v>
      </c>
      <c r="C22" s="131"/>
      <c r="D22" s="132"/>
      <c r="E22" s="133"/>
      <c r="F22" s="174">
        <f>F21+F20+F19+F18+F17+F16</f>
        <v>3071050</v>
      </c>
    </row>
    <row r="23" spans="1:6" ht="15.75">
      <c r="A23" s="171"/>
      <c r="B23" s="171" t="s">
        <v>142</v>
      </c>
      <c r="C23" s="172" t="s">
        <v>150</v>
      </c>
      <c r="D23" s="173">
        <v>10</v>
      </c>
      <c r="E23" s="174"/>
      <c r="F23" s="174">
        <f>F22/10</f>
        <v>307105</v>
      </c>
    </row>
    <row r="24" spans="1:6" ht="15.75">
      <c r="A24" s="171"/>
      <c r="B24" s="168" t="s">
        <v>125</v>
      </c>
      <c r="C24" s="172"/>
      <c r="D24" s="173"/>
      <c r="E24" s="174"/>
      <c r="F24" s="170">
        <f>F23+F22</f>
        <v>3378155</v>
      </c>
    </row>
    <row r="25" ht="15">
      <c r="D25" s="112">
        <f>D16+D17+D18+D19+D20+D21</f>
        <v>2530.7</v>
      </c>
    </row>
    <row r="26" spans="1:6" ht="15">
      <c r="A26" s="388" t="s">
        <v>144</v>
      </c>
      <c r="B26" s="388"/>
      <c r="C26" s="388"/>
      <c r="D26" s="388"/>
      <c r="E26" s="388"/>
      <c r="F26" s="388"/>
    </row>
    <row r="28" spans="1:6" ht="15">
      <c r="A28" s="349" t="s">
        <v>112</v>
      </c>
      <c r="B28" s="349" t="s">
        <v>113</v>
      </c>
      <c r="C28" s="349" t="s">
        <v>114</v>
      </c>
      <c r="D28" s="350" t="s">
        <v>77</v>
      </c>
      <c r="E28" s="351" t="s">
        <v>217</v>
      </c>
      <c r="F28" s="351" t="s">
        <v>116</v>
      </c>
    </row>
    <row r="29" spans="1:6" ht="15">
      <c r="A29" s="349"/>
      <c r="B29" s="349"/>
      <c r="C29" s="349"/>
      <c r="D29" s="350"/>
      <c r="E29" s="351"/>
      <c r="F29" s="351"/>
    </row>
    <row r="30" spans="1:6" s="144" customFormat="1" ht="15.75">
      <c r="A30" s="175">
        <v>1</v>
      </c>
      <c r="B30" s="176" t="s">
        <v>218</v>
      </c>
      <c r="C30" s="175" t="s">
        <v>128</v>
      </c>
      <c r="D30" s="177">
        <v>1220</v>
      </c>
      <c r="E30" s="43">
        <v>630</v>
      </c>
      <c r="F30" s="178">
        <f>E30*D30</f>
        <v>768600</v>
      </c>
    </row>
    <row r="31" spans="1:6" s="144" customFormat="1" ht="15.75">
      <c r="A31" s="175">
        <v>2</v>
      </c>
      <c r="B31" s="176" t="s">
        <v>146</v>
      </c>
      <c r="C31" s="175" t="s">
        <v>128</v>
      </c>
      <c r="D31" s="177">
        <v>156</v>
      </c>
      <c r="E31" s="43">
        <v>680</v>
      </c>
      <c r="F31" s="178">
        <f>E31*D31</f>
        <v>106080</v>
      </c>
    </row>
    <row r="32" spans="1:6" s="144" customFormat="1" ht="15.75">
      <c r="A32" s="175">
        <v>3</v>
      </c>
      <c r="B32" s="176" t="s">
        <v>147</v>
      </c>
      <c r="C32" s="175" t="s">
        <v>128</v>
      </c>
      <c r="D32" s="177">
        <v>426</v>
      </c>
      <c r="E32" s="43">
        <v>620</v>
      </c>
      <c r="F32" s="178">
        <f>E32*D32</f>
        <v>264120</v>
      </c>
    </row>
    <row r="33" spans="1:6" s="144" customFormat="1" ht="15.75">
      <c r="A33" s="175">
        <v>4</v>
      </c>
      <c r="B33" s="176" t="s">
        <v>148</v>
      </c>
      <c r="C33" s="175" t="s">
        <v>128</v>
      </c>
      <c r="D33" s="177">
        <v>851</v>
      </c>
      <c r="E33" s="43">
        <v>580</v>
      </c>
      <c r="F33" s="178">
        <f>E33*D33</f>
        <v>493580</v>
      </c>
    </row>
    <row r="34" spans="1:6" s="144" customFormat="1" ht="15.75">
      <c r="A34" s="175">
        <v>5</v>
      </c>
      <c r="B34" s="176" t="s">
        <v>149</v>
      </c>
      <c r="C34" s="175" t="s">
        <v>150</v>
      </c>
      <c r="D34" s="177">
        <v>25</v>
      </c>
      <c r="E34" s="43"/>
      <c r="F34" s="178">
        <f>(F33+F32+F31+F30)*25/100</f>
        <v>408095</v>
      </c>
    </row>
    <row r="35" spans="1:6" s="144" customFormat="1" ht="15.75">
      <c r="A35" s="175">
        <v>6</v>
      </c>
      <c r="B35" s="176" t="s">
        <v>151</v>
      </c>
      <c r="C35" s="175" t="s">
        <v>152</v>
      </c>
      <c r="D35" s="177">
        <v>3</v>
      </c>
      <c r="E35" s="43">
        <v>2200</v>
      </c>
      <c r="F35" s="178">
        <f>E35*D35</f>
        <v>6600</v>
      </c>
    </row>
    <row r="36" spans="1:6" s="184" customFormat="1" ht="15.75">
      <c r="A36" s="179">
        <v>7</v>
      </c>
      <c r="B36" s="180" t="s">
        <v>153</v>
      </c>
      <c r="C36" s="179" t="s">
        <v>118</v>
      </c>
      <c r="D36" s="181">
        <v>3</v>
      </c>
      <c r="E36" s="182">
        <v>8500</v>
      </c>
      <c r="F36" s="183">
        <f>E36*D36</f>
        <v>25500</v>
      </c>
    </row>
    <row r="37" spans="1:6" s="144" customFormat="1" ht="15.75">
      <c r="A37" s="175">
        <v>8</v>
      </c>
      <c r="B37" s="176" t="s">
        <v>154</v>
      </c>
      <c r="C37" s="175" t="s">
        <v>118</v>
      </c>
      <c r="D37" s="177">
        <v>16</v>
      </c>
      <c r="E37" s="43">
        <v>6000</v>
      </c>
      <c r="F37" s="178">
        <f>E37*D37</f>
        <v>96000</v>
      </c>
    </row>
    <row r="38" spans="1:6" s="144" customFormat="1" ht="15.75">
      <c r="A38" s="175">
        <v>9</v>
      </c>
      <c r="B38" s="185" t="s">
        <v>219</v>
      </c>
      <c r="C38" s="175" t="s">
        <v>152</v>
      </c>
      <c r="D38" s="177">
        <v>1</v>
      </c>
      <c r="E38" s="186" t="s">
        <v>0</v>
      </c>
      <c r="F38" s="178">
        <v>400000</v>
      </c>
    </row>
    <row r="39" spans="1:6" s="144" customFormat="1" ht="15.75">
      <c r="A39" s="175">
        <v>10</v>
      </c>
      <c r="B39" s="187" t="s">
        <v>157</v>
      </c>
      <c r="C39" s="188"/>
      <c r="D39" s="189"/>
      <c r="E39" s="190"/>
      <c r="F39" s="190">
        <f>F38+F37+F36+F35+F34+F33+F32+F31+F30</f>
        <v>2568575</v>
      </c>
    </row>
    <row r="40" spans="1:6" s="144" customFormat="1" ht="15.75">
      <c r="A40" s="175">
        <v>11</v>
      </c>
      <c r="B40" s="185" t="s">
        <v>142</v>
      </c>
      <c r="C40" s="188" t="s">
        <v>150</v>
      </c>
      <c r="D40" s="177">
        <v>10</v>
      </c>
      <c r="E40" s="43"/>
      <c r="F40" s="178">
        <f>F39/10</f>
        <v>256857.5</v>
      </c>
    </row>
    <row r="41" spans="1:6" s="144" customFormat="1" ht="15.75">
      <c r="A41" s="175">
        <v>12</v>
      </c>
      <c r="B41" s="187" t="s">
        <v>158</v>
      </c>
      <c r="C41" s="188"/>
      <c r="D41" s="189"/>
      <c r="E41" s="190"/>
      <c r="F41" s="190">
        <f>F40+F39</f>
        <v>2825432.5</v>
      </c>
    </row>
    <row r="43" spans="1:6" ht="15">
      <c r="A43" s="388" t="s">
        <v>159</v>
      </c>
      <c r="B43" s="388"/>
      <c r="C43" s="388"/>
      <c r="D43" s="388"/>
      <c r="E43" s="388"/>
      <c r="F43" s="388"/>
    </row>
    <row r="46" spans="1:6" ht="15">
      <c r="A46" s="345" t="s">
        <v>112</v>
      </c>
      <c r="B46" s="345" t="s">
        <v>113</v>
      </c>
      <c r="C46" s="345" t="s">
        <v>114</v>
      </c>
      <c r="D46" s="346" t="s">
        <v>77</v>
      </c>
      <c r="E46" s="347" t="s">
        <v>181</v>
      </c>
      <c r="F46" s="347" t="s">
        <v>220</v>
      </c>
    </row>
    <row r="47" spans="1:6" ht="15">
      <c r="A47" s="345"/>
      <c r="B47" s="345"/>
      <c r="C47" s="345"/>
      <c r="D47" s="346"/>
      <c r="E47" s="347"/>
      <c r="F47" s="347"/>
    </row>
    <row r="48" spans="1:6" ht="15.75">
      <c r="A48" s="152">
        <v>1</v>
      </c>
      <c r="B48" s="152" t="s">
        <v>162</v>
      </c>
      <c r="C48" s="151" t="s">
        <v>128</v>
      </c>
      <c r="D48" s="153">
        <v>576</v>
      </c>
      <c r="E48" s="154">
        <v>1950</v>
      </c>
      <c r="F48" s="154">
        <f>E48*D48</f>
        <v>1123200</v>
      </c>
    </row>
    <row r="49" spans="1:6" ht="15.75">
      <c r="A49" s="151">
        <v>2</v>
      </c>
      <c r="B49" s="152" t="s">
        <v>163</v>
      </c>
      <c r="C49" s="151" t="s">
        <v>128</v>
      </c>
      <c r="D49" s="153">
        <v>17</v>
      </c>
      <c r="E49" s="154">
        <v>2000</v>
      </c>
      <c r="F49" s="154">
        <f>E49*D49</f>
        <v>34000</v>
      </c>
    </row>
    <row r="50" spans="1:6" ht="15.75">
      <c r="A50" s="151">
        <v>3</v>
      </c>
      <c r="B50" s="152" t="s">
        <v>164</v>
      </c>
      <c r="C50" s="151" t="s">
        <v>128</v>
      </c>
      <c r="D50" s="153">
        <v>246</v>
      </c>
      <c r="E50" s="154">
        <v>1050</v>
      </c>
      <c r="F50" s="154">
        <f>E50*D50</f>
        <v>258300</v>
      </c>
    </row>
    <row r="51" spans="1:6" ht="15.75">
      <c r="A51" s="151">
        <v>4</v>
      </c>
      <c r="B51" s="152" t="s">
        <v>166</v>
      </c>
      <c r="C51" s="151" t="s">
        <v>128</v>
      </c>
      <c r="D51" s="153">
        <v>393</v>
      </c>
      <c r="E51" s="154">
        <v>890</v>
      </c>
      <c r="F51" s="154">
        <f>E51*D51</f>
        <v>349770</v>
      </c>
    </row>
    <row r="52" spans="1:6" ht="15.75">
      <c r="A52" s="151">
        <v>5</v>
      </c>
      <c r="B52" s="152" t="s">
        <v>167</v>
      </c>
      <c r="C52" s="151" t="s">
        <v>152</v>
      </c>
      <c r="D52" s="153">
        <v>34</v>
      </c>
      <c r="E52" s="154">
        <v>5950</v>
      </c>
      <c r="F52" s="154">
        <f>E52*D52</f>
        <v>202300</v>
      </c>
    </row>
    <row r="53" spans="1:6" ht="15.75">
      <c r="A53" s="151">
        <v>6</v>
      </c>
      <c r="B53" s="152" t="s">
        <v>168</v>
      </c>
      <c r="C53" s="151" t="s">
        <v>152</v>
      </c>
      <c r="D53" s="153">
        <v>2</v>
      </c>
      <c r="E53" s="154">
        <v>8000</v>
      </c>
      <c r="F53" s="154">
        <f>E53*D53</f>
        <v>16000</v>
      </c>
    </row>
    <row r="54" spans="1:6" ht="15.75">
      <c r="A54" s="151">
        <v>7</v>
      </c>
      <c r="B54" s="152" t="s">
        <v>169</v>
      </c>
      <c r="C54" s="151" t="s">
        <v>152</v>
      </c>
      <c r="D54" s="153">
        <v>1</v>
      </c>
      <c r="E54" s="154">
        <v>15000</v>
      </c>
      <c r="F54" s="154">
        <f>E54*D54</f>
        <v>15000</v>
      </c>
    </row>
    <row r="55" spans="1:6" ht="15.75">
      <c r="A55" s="151">
        <v>8</v>
      </c>
      <c r="B55" s="152" t="s">
        <v>170</v>
      </c>
      <c r="C55" s="151" t="s">
        <v>152</v>
      </c>
      <c r="D55" s="153">
        <v>1</v>
      </c>
      <c r="E55" s="154">
        <v>20000</v>
      </c>
      <c r="F55" s="154">
        <f>E55*D55</f>
        <v>20000</v>
      </c>
    </row>
    <row r="56" spans="1:6" ht="15.75">
      <c r="A56" s="151">
        <v>9</v>
      </c>
      <c r="B56" s="152" t="s">
        <v>157</v>
      </c>
      <c r="C56" s="151"/>
      <c r="D56" s="153"/>
      <c r="E56" s="154"/>
      <c r="F56" s="149">
        <f>F55+F54+F53+F52+F51+F50+F49+F48</f>
        <v>2018570</v>
      </c>
    </row>
    <row r="57" spans="1:6" ht="15.75">
      <c r="A57" s="151">
        <v>10</v>
      </c>
      <c r="B57" s="152" t="s">
        <v>142</v>
      </c>
      <c r="C57" s="151" t="s">
        <v>150</v>
      </c>
      <c r="D57" s="153">
        <v>10</v>
      </c>
      <c r="E57" s="154"/>
      <c r="F57" s="154">
        <f>F56/10</f>
        <v>201857</v>
      </c>
    </row>
    <row r="58" spans="1:6" ht="15.75">
      <c r="A58" s="151">
        <v>11</v>
      </c>
      <c r="B58" s="146" t="s">
        <v>158</v>
      </c>
      <c r="C58" s="151"/>
      <c r="D58" s="153"/>
      <c r="E58" s="154"/>
      <c r="F58" s="149">
        <f>F57+F56</f>
        <v>2220427</v>
      </c>
    </row>
    <row r="60" spans="1:6" ht="15">
      <c r="A60" s="388" t="s">
        <v>171</v>
      </c>
      <c r="B60" s="388"/>
      <c r="C60" s="388"/>
      <c r="D60" s="388"/>
      <c r="E60" s="388"/>
      <c r="F60" s="388"/>
    </row>
    <row r="62" spans="1:6" ht="31.5">
      <c r="A62" s="191" t="s">
        <v>0</v>
      </c>
      <c r="B62" s="120" t="s">
        <v>113</v>
      </c>
      <c r="C62" s="147" t="s">
        <v>22</v>
      </c>
      <c r="D62" s="148" t="s">
        <v>77</v>
      </c>
      <c r="E62" s="149" t="s">
        <v>181</v>
      </c>
      <c r="F62" s="149" t="s">
        <v>182</v>
      </c>
    </row>
    <row r="63" spans="1:6" ht="15.75">
      <c r="A63" s="151">
        <v>1</v>
      </c>
      <c r="B63" s="171" t="s">
        <v>200</v>
      </c>
      <c r="C63" s="151" t="s">
        <v>176</v>
      </c>
      <c r="D63" s="153">
        <v>0.8</v>
      </c>
      <c r="E63" s="154">
        <v>280697</v>
      </c>
      <c r="F63" s="154">
        <f>E63*D63</f>
        <v>224557.6</v>
      </c>
    </row>
    <row r="64" spans="1:6" ht="15.75">
      <c r="A64" s="151">
        <v>2</v>
      </c>
      <c r="B64" s="171" t="s">
        <v>201</v>
      </c>
      <c r="C64" s="151" t="s">
        <v>176</v>
      </c>
      <c r="D64" s="153">
        <v>0.8</v>
      </c>
      <c r="E64" s="154">
        <v>626530</v>
      </c>
      <c r="F64" s="154">
        <f>E64*D64</f>
        <v>501224</v>
      </c>
    </row>
    <row r="65" spans="1:6" ht="15.75">
      <c r="A65" s="151">
        <v>3</v>
      </c>
      <c r="B65" s="171" t="s">
        <v>202</v>
      </c>
      <c r="C65" s="151" t="s">
        <v>176</v>
      </c>
      <c r="D65" s="153">
        <v>0.1</v>
      </c>
      <c r="E65" s="154">
        <v>219810</v>
      </c>
      <c r="F65" s="154">
        <f>E65*D65</f>
        <v>21981</v>
      </c>
    </row>
    <row r="66" spans="1:6" ht="15.75">
      <c r="A66" s="151">
        <v>4</v>
      </c>
      <c r="B66" s="171" t="s">
        <v>221</v>
      </c>
      <c r="C66" s="151" t="s">
        <v>204</v>
      </c>
      <c r="D66" s="153">
        <v>180</v>
      </c>
      <c r="E66" s="154">
        <v>5970</v>
      </c>
      <c r="F66" s="154">
        <f>E66*D66</f>
        <v>1074600</v>
      </c>
    </row>
    <row r="67" spans="1:6" ht="15.75">
      <c r="A67" s="151">
        <v>5</v>
      </c>
      <c r="B67" s="171" t="s">
        <v>206</v>
      </c>
      <c r="C67" s="151" t="s">
        <v>207</v>
      </c>
      <c r="D67" s="153">
        <v>1</v>
      </c>
      <c r="E67" s="154">
        <v>15000</v>
      </c>
      <c r="F67" s="154">
        <f>E67*D67</f>
        <v>15000</v>
      </c>
    </row>
    <row r="68" spans="1:6" ht="15.75">
      <c r="A68" s="151">
        <v>6</v>
      </c>
      <c r="B68" s="171" t="s">
        <v>208</v>
      </c>
      <c r="C68" s="151" t="s">
        <v>207</v>
      </c>
      <c r="D68" s="153">
        <v>1</v>
      </c>
      <c r="E68" s="154">
        <v>26130</v>
      </c>
      <c r="F68" s="154">
        <f>E68*D68</f>
        <v>26130</v>
      </c>
    </row>
    <row r="69" spans="1:6" ht="15.75">
      <c r="A69" s="151">
        <v>7</v>
      </c>
      <c r="B69" s="192" t="s">
        <v>209</v>
      </c>
      <c r="C69" s="151" t="s">
        <v>210</v>
      </c>
      <c r="D69" s="153">
        <v>26</v>
      </c>
      <c r="E69" s="154">
        <v>10055</v>
      </c>
      <c r="F69" s="154">
        <f>E69*D69</f>
        <v>261430</v>
      </c>
    </row>
    <row r="70" spans="1:6" ht="15.75">
      <c r="A70" s="151"/>
      <c r="B70" s="168" t="s">
        <v>211</v>
      </c>
      <c r="C70" s="151"/>
      <c r="D70" s="153"/>
      <c r="E70" s="154"/>
      <c r="F70" s="149">
        <f>F69+F68+F67+F66+F65+F64+F63</f>
        <v>2124922.6</v>
      </c>
    </row>
    <row r="71" spans="1:6" ht="15.75">
      <c r="A71" s="151">
        <v>8</v>
      </c>
      <c r="B71" s="171" t="s">
        <v>142</v>
      </c>
      <c r="C71" s="151" t="s">
        <v>150</v>
      </c>
      <c r="D71" s="153">
        <v>10</v>
      </c>
      <c r="E71" s="154"/>
      <c r="F71" s="154">
        <f>F70/10</f>
        <v>212492.26</v>
      </c>
    </row>
    <row r="72" spans="1:6" ht="15.75">
      <c r="A72" s="151"/>
      <c r="B72" s="168" t="s">
        <v>212</v>
      </c>
      <c r="C72" s="151"/>
      <c r="D72" s="153"/>
      <c r="E72" s="154"/>
      <c r="F72" s="154">
        <f>F71+F70</f>
        <v>2337414.8600000003</v>
      </c>
    </row>
  </sheetData>
  <sheetProtection/>
  <mergeCells count="17">
    <mergeCell ref="A1:F1"/>
    <mergeCell ref="A13:F13"/>
    <mergeCell ref="A26:F26"/>
    <mergeCell ref="A28:A29"/>
    <mergeCell ref="B28:B29"/>
    <mergeCell ref="C28:C29"/>
    <mergeCell ref="D28:D29"/>
    <mergeCell ref="E28:E29"/>
    <mergeCell ref="F28:F29"/>
    <mergeCell ref="A60:F60"/>
    <mergeCell ref="A43:F43"/>
    <mergeCell ref="A46:A47"/>
    <mergeCell ref="B46:B47"/>
    <mergeCell ref="C46:C47"/>
    <mergeCell ref="D46:D47"/>
    <mergeCell ref="E46:E47"/>
    <mergeCell ref="F46:F4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22">
      <selection activeCell="D3" sqref="D3"/>
    </sheetView>
  </sheetViews>
  <sheetFormatPr defaultColWidth="9.140625" defaultRowHeight="15"/>
  <cols>
    <col min="1" max="1" width="9.140625" style="193" customWidth="1"/>
    <col min="2" max="2" width="36.140625" style="193" customWidth="1"/>
    <col min="3" max="3" width="11.28125" style="233" customWidth="1"/>
    <col min="4" max="4" width="18.00390625" style="234" customWidth="1"/>
    <col min="5" max="5" width="18.00390625" style="235" customWidth="1"/>
    <col min="6" max="6" width="17.28125" style="235" customWidth="1"/>
    <col min="7" max="7" width="13.8515625" style="193" bestFit="1" customWidth="1"/>
    <col min="8" max="16384" width="9.140625" style="193" customWidth="1"/>
  </cols>
  <sheetData>
    <row r="1" spans="1:6" ht="15">
      <c r="A1" s="352" t="s">
        <v>179</v>
      </c>
      <c r="B1" s="352"/>
      <c r="C1" s="352"/>
      <c r="D1" s="352"/>
      <c r="E1" s="352"/>
      <c r="F1" s="352"/>
    </row>
    <row r="3" spans="1:7" ht="18.75" customHeight="1">
      <c r="A3" s="194" t="s">
        <v>0</v>
      </c>
      <c r="B3" s="194" t="s">
        <v>113</v>
      </c>
      <c r="C3" s="195" t="s">
        <v>22</v>
      </c>
      <c r="D3" s="196" t="s">
        <v>77</v>
      </c>
      <c r="E3" s="197" t="s">
        <v>222</v>
      </c>
      <c r="F3" s="197" t="s">
        <v>223</v>
      </c>
      <c r="G3" s="193"/>
    </row>
    <row r="4" spans="1:7" ht="18.75" customHeight="1">
      <c r="A4" s="198">
        <v>1</v>
      </c>
      <c r="B4" s="198" t="s">
        <v>117</v>
      </c>
      <c r="C4" s="199" t="s">
        <v>118</v>
      </c>
      <c r="D4" s="200">
        <v>11716.84</v>
      </c>
      <c r="E4" s="201">
        <v>15</v>
      </c>
      <c r="F4" s="201">
        <f>E4*D4</f>
        <v>175752.6</v>
      </c>
      <c r="G4" s="193"/>
    </row>
    <row r="5" spans="1:7" ht="18.75" customHeight="1">
      <c r="A5" s="198">
        <v>2</v>
      </c>
      <c r="B5" s="198" t="s">
        <v>119</v>
      </c>
      <c r="C5" s="199" t="s">
        <v>118</v>
      </c>
      <c r="D5" s="200">
        <v>254192.64</v>
      </c>
      <c r="E5" s="201">
        <v>20</v>
      </c>
      <c r="F5" s="201">
        <f>E5*D5</f>
        <v>5083852.800000001</v>
      </c>
      <c r="G5" s="193"/>
    </row>
    <row r="6" spans="1:7" ht="18.75" customHeight="1">
      <c r="A6" s="198">
        <v>3</v>
      </c>
      <c r="B6" s="198" t="s">
        <v>120</v>
      </c>
      <c r="C6" s="199" t="s">
        <v>118</v>
      </c>
      <c r="D6" s="200">
        <v>108434.9</v>
      </c>
      <c r="E6" s="201">
        <v>13</v>
      </c>
      <c r="F6" s="201">
        <f>E6*D6</f>
        <v>1409653.7</v>
      </c>
      <c r="G6" s="193"/>
    </row>
    <row r="7" spans="1:7" ht="18.75" customHeight="1">
      <c r="A7" s="198">
        <v>4</v>
      </c>
      <c r="B7" s="198" t="s">
        <v>121</v>
      </c>
      <c r="C7" s="199" t="s">
        <v>118</v>
      </c>
      <c r="D7" s="200">
        <v>157474.58</v>
      </c>
      <c r="E7" s="201">
        <v>24</v>
      </c>
      <c r="F7" s="201">
        <f>E7*D7</f>
        <v>3779389.92</v>
      </c>
      <c r="G7" s="193"/>
    </row>
    <row r="8" spans="1:7" ht="18.75" customHeight="1">
      <c r="A8" s="198"/>
      <c r="B8" s="194" t="s">
        <v>231</v>
      </c>
      <c r="C8" s="199" t="s">
        <v>224</v>
      </c>
      <c r="D8" s="202"/>
      <c r="E8" s="203"/>
      <c r="F8" s="197">
        <f>F7+F6+F5+F4</f>
        <v>10448649.020000001</v>
      </c>
      <c r="G8" s="193"/>
    </row>
    <row r="9" spans="1:7" ht="18.75" customHeight="1">
      <c r="A9" s="198"/>
      <c r="B9" s="198" t="s">
        <v>124</v>
      </c>
      <c r="C9" s="199" t="s">
        <v>150</v>
      </c>
      <c r="D9" s="200">
        <v>10</v>
      </c>
      <c r="E9" s="201"/>
      <c r="F9" s="201">
        <f>F8/10</f>
        <v>1044864.9020000001</v>
      </c>
      <c r="G9" s="193"/>
    </row>
    <row r="10" spans="1:7" ht="18.75" customHeight="1">
      <c r="A10" s="198"/>
      <c r="B10" s="194" t="s">
        <v>125</v>
      </c>
      <c r="C10" s="204"/>
      <c r="D10" s="202"/>
      <c r="E10" s="203"/>
      <c r="F10" s="197">
        <f>F9+F8</f>
        <v>11493513.922000002</v>
      </c>
      <c r="G10" s="193"/>
    </row>
    <row r="12" spans="1:6" ht="15">
      <c r="A12" s="352" t="s">
        <v>126</v>
      </c>
      <c r="B12" s="352"/>
      <c r="C12" s="352"/>
      <c r="D12" s="352"/>
      <c r="E12" s="352"/>
      <c r="F12" s="352"/>
    </row>
    <row r="14" spans="1:7" ht="15.75">
      <c r="A14" s="205" t="s">
        <v>0</v>
      </c>
      <c r="B14" s="120" t="s">
        <v>113</v>
      </c>
      <c r="C14" s="206" t="s">
        <v>22</v>
      </c>
      <c r="D14" s="196" t="s">
        <v>77</v>
      </c>
      <c r="E14" s="197" t="s">
        <v>222</v>
      </c>
      <c r="F14" s="197" t="s">
        <v>223</v>
      </c>
      <c r="G14" s="193"/>
    </row>
    <row r="15" spans="1:7" ht="15.75">
      <c r="A15" s="207">
        <v>1</v>
      </c>
      <c r="B15" s="207" t="s">
        <v>129</v>
      </c>
      <c r="C15" s="208" t="s">
        <v>128</v>
      </c>
      <c r="D15" s="209">
        <v>193</v>
      </c>
      <c r="E15" s="210">
        <v>1500</v>
      </c>
      <c r="F15" s="211">
        <f>E15*D15</f>
        <v>289500</v>
      </c>
      <c r="G15" s="212"/>
    </row>
    <row r="16" spans="1:7" ht="15.75">
      <c r="A16" s="207">
        <v>2</v>
      </c>
      <c r="B16" s="207" t="s">
        <v>130</v>
      </c>
      <c r="C16" s="208" t="s">
        <v>128</v>
      </c>
      <c r="D16" s="209">
        <v>231</v>
      </c>
      <c r="E16" s="210">
        <v>1500</v>
      </c>
      <c r="F16" s="211">
        <f>E16*D16</f>
        <v>346500</v>
      </c>
      <c r="G16" s="212"/>
    </row>
    <row r="17" spans="1:7" ht="15.75">
      <c r="A17" s="207">
        <v>3</v>
      </c>
      <c r="B17" s="207" t="s">
        <v>131</v>
      </c>
      <c r="C17" s="208" t="s">
        <v>128</v>
      </c>
      <c r="D17" s="209">
        <v>238</v>
      </c>
      <c r="E17" s="210">
        <v>1500</v>
      </c>
      <c r="F17" s="211">
        <f>E17*D17</f>
        <v>357000</v>
      </c>
      <c r="G17" s="212"/>
    </row>
    <row r="18" spans="1:7" ht="15.75">
      <c r="A18" s="207">
        <v>4</v>
      </c>
      <c r="B18" s="207" t="s">
        <v>132</v>
      </c>
      <c r="C18" s="208" t="s">
        <v>128</v>
      </c>
      <c r="D18" s="209">
        <v>93</v>
      </c>
      <c r="E18" s="210">
        <v>1500</v>
      </c>
      <c r="F18" s="211">
        <f>E18*D18</f>
        <v>139500</v>
      </c>
      <c r="G18" s="212"/>
    </row>
    <row r="19" spans="1:7" ht="15.75">
      <c r="A19" s="207">
        <v>5</v>
      </c>
      <c r="B19" s="207" t="s">
        <v>133</v>
      </c>
      <c r="C19" s="208" t="s">
        <v>128</v>
      </c>
      <c r="D19" s="209">
        <v>57.5</v>
      </c>
      <c r="E19" s="210">
        <v>1500</v>
      </c>
      <c r="F19" s="211">
        <f>E19*D19</f>
        <v>86250</v>
      </c>
      <c r="G19" s="212"/>
    </row>
    <row r="20" spans="1:7" ht="15.75">
      <c r="A20" s="213">
        <v>6</v>
      </c>
      <c r="B20" s="207" t="s">
        <v>225</v>
      </c>
      <c r="C20" s="214" t="s">
        <v>128</v>
      </c>
      <c r="D20" s="215">
        <v>298</v>
      </c>
      <c r="E20" s="210">
        <v>1500</v>
      </c>
      <c r="F20" s="211">
        <f>E20*D20</f>
        <v>447000</v>
      </c>
      <c r="G20" s="212"/>
    </row>
    <row r="21" spans="1:7" ht="15.75">
      <c r="A21" s="207"/>
      <c r="B21" s="207" t="s">
        <v>226</v>
      </c>
      <c r="C21" s="208" t="s">
        <v>227</v>
      </c>
      <c r="D21" s="209">
        <v>1650</v>
      </c>
      <c r="E21" s="210">
        <v>1000</v>
      </c>
      <c r="F21" s="211">
        <f>E21*D21</f>
        <v>1650000</v>
      </c>
      <c r="G21" s="212"/>
    </row>
    <row r="22" spans="1:7" ht="15.75">
      <c r="A22" s="207"/>
      <c r="B22" s="207" t="s">
        <v>142</v>
      </c>
      <c r="C22" s="208" t="s">
        <v>150</v>
      </c>
      <c r="D22" s="209">
        <v>10</v>
      </c>
      <c r="E22" s="210"/>
      <c r="F22" s="211">
        <f>(F21+F20+F19+F18+F17+F16+F15)/10</f>
        <v>331575</v>
      </c>
      <c r="G22" s="212"/>
    </row>
    <row r="23" spans="1:7" ht="15.75">
      <c r="A23" s="207"/>
      <c r="B23" s="205" t="s">
        <v>125</v>
      </c>
      <c r="C23" s="208"/>
      <c r="D23" s="209"/>
      <c r="E23" s="210"/>
      <c r="F23" s="216">
        <f>F22+F21+F20+F19+F18+F17+F16+F15</f>
        <v>3647325</v>
      </c>
      <c r="G23" s="193"/>
    </row>
    <row r="25" spans="1:6" ht="15">
      <c r="A25" s="352" t="s">
        <v>144</v>
      </c>
      <c r="B25" s="352"/>
      <c r="C25" s="352"/>
      <c r="D25" s="352"/>
      <c r="E25" s="352"/>
      <c r="F25" s="352"/>
    </row>
    <row r="27" spans="1:7" ht="15.75">
      <c r="A27" s="217" t="s">
        <v>112</v>
      </c>
      <c r="B27" s="217" t="s">
        <v>113</v>
      </c>
      <c r="C27" s="195" t="s">
        <v>114</v>
      </c>
      <c r="D27" s="196" t="s">
        <v>77</v>
      </c>
      <c r="E27" s="197" t="s">
        <v>222</v>
      </c>
      <c r="F27" s="197" t="s">
        <v>223</v>
      </c>
      <c r="G27" s="193"/>
    </row>
    <row r="28" spans="1:7" ht="15.75">
      <c r="A28" s="199">
        <v>1</v>
      </c>
      <c r="B28" s="218" t="s">
        <v>228</v>
      </c>
      <c r="C28" s="199" t="s">
        <v>128</v>
      </c>
      <c r="D28" s="200">
        <v>3500</v>
      </c>
      <c r="E28" s="201">
        <v>630</v>
      </c>
      <c r="F28" s="219">
        <f>E28*D28</f>
        <v>2205000</v>
      </c>
      <c r="G28" s="193"/>
    </row>
    <row r="29" spans="1:7" ht="15.75">
      <c r="A29" s="199">
        <v>2</v>
      </c>
      <c r="B29" s="218" t="s">
        <v>147</v>
      </c>
      <c r="C29" s="199" t="s">
        <v>128</v>
      </c>
      <c r="D29" s="200">
        <v>348</v>
      </c>
      <c r="E29" s="201">
        <v>626</v>
      </c>
      <c r="F29" s="219">
        <f>E29*D29</f>
        <v>217848</v>
      </c>
      <c r="G29" s="193"/>
    </row>
    <row r="30" spans="1:7" ht="15.75">
      <c r="A30" s="199">
        <v>3</v>
      </c>
      <c r="B30" s="218" t="s">
        <v>148</v>
      </c>
      <c r="C30" s="199" t="s">
        <v>128</v>
      </c>
      <c r="D30" s="200">
        <v>1087</v>
      </c>
      <c r="E30" s="201">
        <v>580</v>
      </c>
      <c r="F30" s="219">
        <f>E30*D30</f>
        <v>630460</v>
      </c>
      <c r="G30" s="193"/>
    </row>
    <row r="31" spans="1:7" ht="15.75">
      <c r="A31" s="199">
        <v>4</v>
      </c>
      <c r="B31" s="218" t="s">
        <v>149</v>
      </c>
      <c r="C31" s="199" t="s">
        <v>150</v>
      </c>
      <c r="D31" s="200">
        <v>25</v>
      </c>
      <c r="E31" s="201">
        <f>F30+F29+F28</f>
        <v>3053308</v>
      </c>
      <c r="F31" s="219">
        <f>(F30+F29+F28)*25/100</f>
        <v>763327</v>
      </c>
      <c r="G31" s="193"/>
    </row>
    <row r="32" spans="1:7" ht="15.75">
      <c r="A32" s="199">
        <v>5</v>
      </c>
      <c r="B32" s="218" t="s">
        <v>151</v>
      </c>
      <c r="C32" s="199" t="s">
        <v>152</v>
      </c>
      <c r="D32" s="200">
        <v>3</v>
      </c>
      <c r="E32" s="201">
        <v>2200</v>
      </c>
      <c r="F32" s="219">
        <f>E32*D32</f>
        <v>6600</v>
      </c>
      <c r="G32" s="193"/>
    </row>
    <row r="33" spans="1:6" ht="15.75">
      <c r="A33" s="199">
        <v>6</v>
      </c>
      <c r="B33" s="218" t="s">
        <v>229</v>
      </c>
      <c r="C33" s="199" t="s">
        <v>156</v>
      </c>
      <c r="D33" s="200">
        <v>1</v>
      </c>
      <c r="E33" s="201" t="s">
        <v>0</v>
      </c>
      <c r="F33" s="219">
        <v>1400000</v>
      </c>
    </row>
    <row r="34" spans="1:6" ht="15.75">
      <c r="A34" s="199">
        <v>7</v>
      </c>
      <c r="B34" s="220" t="s">
        <v>157</v>
      </c>
      <c r="C34" s="195"/>
      <c r="D34" s="196"/>
      <c r="E34" s="197"/>
      <c r="F34" s="197">
        <f>F33+F32+F31+F30+F29+F28</f>
        <v>5223235</v>
      </c>
    </row>
    <row r="35" spans="1:6" ht="15.75">
      <c r="A35" s="199">
        <v>8</v>
      </c>
      <c r="B35" s="221" t="s">
        <v>142</v>
      </c>
      <c r="C35" s="195" t="s">
        <v>150</v>
      </c>
      <c r="D35" s="200">
        <v>10</v>
      </c>
      <c r="E35" s="201"/>
      <c r="F35" s="219">
        <f>F34/10</f>
        <v>522323.5</v>
      </c>
    </row>
    <row r="36" spans="1:6" ht="15.75">
      <c r="A36" s="199">
        <v>9</v>
      </c>
      <c r="B36" s="220" t="s">
        <v>158</v>
      </c>
      <c r="C36" s="195"/>
      <c r="D36" s="196"/>
      <c r="E36" s="197"/>
      <c r="F36" s="197">
        <f>F35+F34</f>
        <v>5745558.5</v>
      </c>
    </row>
    <row r="38" spans="1:6" ht="15">
      <c r="A38" s="352" t="s">
        <v>159</v>
      </c>
      <c r="B38" s="352"/>
      <c r="C38" s="352"/>
      <c r="D38" s="352"/>
      <c r="E38" s="352"/>
      <c r="F38" s="352"/>
    </row>
    <row r="40" spans="1:6" ht="31.5">
      <c r="A40" s="222" t="s">
        <v>112</v>
      </c>
      <c r="B40" s="222" t="s">
        <v>113</v>
      </c>
      <c r="C40" s="223" t="s">
        <v>114</v>
      </c>
      <c r="D40" s="224" t="s">
        <v>77</v>
      </c>
      <c r="E40" s="197" t="s">
        <v>222</v>
      </c>
      <c r="F40" s="197" t="s">
        <v>223</v>
      </c>
    </row>
    <row r="41" spans="1:6" ht="15.75">
      <c r="A41" s="208">
        <v>1</v>
      </c>
      <c r="B41" s="225" t="s">
        <v>162</v>
      </c>
      <c r="C41" s="226" t="s">
        <v>128</v>
      </c>
      <c r="D41" s="227">
        <v>163</v>
      </c>
      <c r="E41" s="228">
        <v>1950</v>
      </c>
      <c r="F41" s="228">
        <f>E41*D41</f>
        <v>317850</v>
      </c>
    </row>
    <row r="42" spans="1:6" ht="15.75">
      <c r="A42" s="208">
        <v>2</v>
      </c>
      <c r="B42" s="225" t="s">
        <v>163</v>
      </c>
      <c r="C42" s="226" t="s">
        <v>128</v>
      </c>
      <c r="D42" s="227">
        <v>18</v>
      </c>
      <c r="E42" s="228">
        <v>2000</v>
      </c>
      <c r="F42" s="228">
        <f>E42*D42</f>
        <v>36000</v>
      </c>
    </row>
    <row r="43" spans="1:6" ht="15.75">
      <c r="A43" s="208">
        <v>3</v>
      </c>
      <c r="B43" s="225" t="s">
        <v>164</v>
      </c>
      <c r="C43" s="226" t="s">
        <v>128</v>
      </c>
      <c r="D43" s="227">
        <v>1450</v>
      </c>
      <c r="E43" s="228">
        <v>1050</v>
      </c>
      <c r="F43" s="228">
        <f>E43*D43</f>
        <v>1522500</v>
      </c>
    </row>
    <row r="44" spans="1:6" ht="15.75">
      <c r="A44" s="208">
        <v>4</v>
      </c>
      <c r="B44" s="225" t="s">
        <v>165</v>
      </c>
      <c r="C44" s="226" t="s">
        <v>128</v>
      </c>
      <c r="D44" s="227">
        <v>28</v>
      </c>
      <c r="E44" s="228">
        <v>1100</v>
      </c>
      <c r="F44" s="228">
        <f>E44*D44</f>
        <v>30800</v>
      </c>
    </row>
    <row r="45" spans="1:6" ht="15.75">
      <c r="A45" s="208">
        <v>5</v>
      </c>
      <c r="B45" s="225" t="s">
        <v>166</v>
      </c>
      <c r="C45" s="226" t="s">
        <v>128</v>
      </c>
      <c r="D45" s="227">
        <v>97</v>
      </c>
      <c r="E45" s="228">
        <v>890</v>
      </c>
      <c r="F45" s="228">
        <f>E45*D45</f>
        <v>86330</v>
      </c>
    </row>
    <row r="46" spans="1:6" ht="15.75">
      <c r="A46" s="208">
        <v>6</v>
      </c>
      <c r="B46" s="225" t="s">
        <v>167</v>
      </c>
      <c r="C46" s="226" t="s">
        <v>152</v>
      </c>
      <c r="D46" s="227">
        <v>20</v>
      </c>
      <c r="E46" s="228">
        <v>5950</v>
      </c>
      <c r="F46" s="228">
        <f>E46*D46</f>
        <v>119000</v>
      </c>
    </row>
    <row r="47" spans="1:6" ht="15.75">
      <c r="A47" s="208">
        <v>7</v>
      </c>
      <c r="B47" s="225" t="s">
        <v>168</v>
      </c>
      <c r="C47" s="226" t="s">
        <v>152</v>
      </c>
      <c r="D47" s="227">
        <v>1</v>
      </c>
      <c r="E47" s="228">
        <v>8000</v>
      </c>
      <c r="F47" s="228">
        <f>E47*D47</f>
        <v>8000</v>
      </c>
    </row>
    <row r="48" spans="1:6" ht="15.75">
      <c r="A48" s="208">
        <v>8</v>
      </c>
      <c r="B48" s="225" t="s">
        <v>230</v>
      </c>
      <c r="C48" s="226" t="s">
        <v>152</v>
      </c>
      <c r="D48" s="227">
        <v>2</v>
      </c>
      <c r="E48" s="228">
        <v>7600</v>
      </c>
      <c r="F48" s="228">
        <f>E48*D48</f>
        <v>15200</v>
      </c>
    </row>
    <row r="49" spans="1:6" ht="15.75">
      <c r="A49" s="208">
        <v>9</v>
      </c>
      <c r="B49" s="225" t="s">
        <v>169</v>
      </c>
      <c r="C49" s="226" t="s">
        <v>152</v>
      </c>
      <c r="D49" s="227">
        <v>1</v>
      </c>
      <c r="E49" s="228">
        <v>15000</v>
      </c>
      <c r="F49" s="228">
        <f>E49*D49</f>
        <v>15000</v>
      </c>
    </row>
    <row r="50" spans="1:6" ht="15.75">
      <c r="A50" s="208">
        <v>10</v>
      </c>
      <c r="B50" s="225" t="s">
        <v>170</v>
      </c>
      <c r="C50" s="226" t="s">
        <v>152</v>
      </c>
      <c r="D50" s="227">
        <v>1</v>
      </c>
      <c r="E50" s="228">
        <v>20000</v>
      </c>
      <c r="F50" s="228">
        <f>E50*D50</f>
        <v>20000</v>
      </c>
    </row>
    <row r="51" spans="1:6" ht="15.75">
      <c r="A51" s="208">
        <v>11</v>
      </c>
      <c r="B51" s="225" t="s">
        <v>157</v>
      </c>
      <c r="C51" s="226"/>
      <c r="D51" s="227"/>
      <c r="E51" s="228"/>
      <c r="F51" s="229">
        <f>F50+F49+F48+F47+F46+F45+F44+F43+F42+F41</f>
        <v>2170680</v>
      </c>
    </row>
    <row r="52" spans="1:6" ht="15.75">
      <c r="A52" s="208">
        <v>12</v>
      </c>
      <c r="B52" s="225" t="s">
        <v>142</v>
      </c>
      <c r="C52" s="226" t="s">
        <v>150</v>
      </c>
      <c r="D52" s="227">
        <v>10</v>
      </c>
      <c r="E52" s="228"/>
      <c r="F52" s="228">
        <f>F51/10</f>
        <v>217068</v>
      </c>
    </row>
    <row r="53" spans="1:6" ht="15.75">
      <c r="A53" s="208">
        <v>13</v>
      </c>
      <c r="B53" s="222" t="s">
        <v>158</v>
      </c>
      <c r="C53" s="226"/>
      <c r="D53" s="227"/>
      <c r="E53" s="228"/>
      <c r="F53" s="229">
        <f>F52+F51</f>
        <v>2387748</v>
      </c>
    </row>
    <row r="55" spans="1:6" ht="15">
      <c r="A55" s="352" t="s">
        <v>171</v>
      </c>
      <c r="B55" s="352"/>
      <c r="C55" s="352"/>
      <c r="D55" s="352"/>
      <c r="E55" s="352"/>
      <c r="F55" s="352"/>
    </row>
    <row r="57" spans="1:6" ht="15.75">
      <c r="A57" s="230" t="s">
        <v>0</v>
      </c>
      <c r="B57" s="120" t="s">
        <v>113</v>
      </c>
      <c r="C57" s="223" t="s">
        <v>22</v>
      </c>
      <c r="D57" s="224" t="s">
        <v>77</v>
      </c>
      <c r="E57" s="197" t="s">
        <v>222</v>
      </c>
      <c r="F57" s="197" t="s">
        <v>223</v>
      </c>
    </row>
    <row r="58" spans="1:6" ht="15.75">
      <c r="A58" s="231">
        <v>1</v>
      </c>
      <c r="B58" s="207" t="s">
        <v>200</v>
      </c>
      <c r="C58" s="226" t="s">
        <v>176</v>
      </c>
      <c r="D58" s="232">
        <v>1.746</v>
      </c>
      <c r="E58" s="228">
        <v>280697</v>
      </c>
      <c r="F58" s="228">
        <f>E58*D58</f>
        <v>490096.962</v>
      </c>
    </row>
    <row r="59" spans="1:6" ht="15.75">
      <c r="A59" s="231">
        <v>2</v>
      </c>
      <c r="B59" s="207" t="s">
        <v>201</v>
      </c>
      <c r="C59" s="226" t="s">
        <v>176</v>
      </c>
      <c r="D59" s="232">
        <v>1.746</v>
      </c>
      <c r="E59" s="228">
        <v>626530</v>
      </c>
      <c r="F59" s="228">
        <f>E59*D59</f>
        <v>1093921.38</v>
      </c>
    </row>
    <row r="60" spans="1:6" ht="15.75">
      <c r="A60" s="231">
        <v>3</v>
      </c>
      <c r="B60" s="207" t="s">
        <v>202</v>
      </c>
      <c r="C60" s="226" t="s">
        <v>176</v>
      </c>
      <c r="D60" s="232">
        <v>0.1</v>
      </c>
      <c r="E60" s="228">
        <v>219810</v>
      </c>
      <c r="F60" s="228">
        <f>E60*D60</f>
        <v>21981</v>
      </c>
    </row>
    <row r="61" spans="1:6" ht="15.75">
      <c r="A61" s="231">
        <v>4</v>
      </c>
      <c r="B61" s="207" t="s">
        <v>221</v>
      </c>
      <c r="C61" s="226" t="s">
        <v>204</v>
      </c>
      <c r="D61" s="227">
        <v>180</v>
      </c>
      <c r="E61" s="228">
        <v>5970</v>
      </c>
      <c r="F61" s="228">
        <f>E61*D61</f>
        <v>1074600</v>
      </c>
    </row>
    <row r="62" spans="1:6" ht="15.75">
      <c r="A62" s="231">
        <v>5</v>
      </c>
      <c r="B62" s="207" t="s">
        <v>206</v>
      </c>
      <c r="C62" s="226" t="s">
        <v>207</v>
      </c>
      <c r="D62" s="227">
        <v>1</v>
      </c>
      <c r="E62" s="228">
        <v>15000</v>
      </c>
      <c r="F62" s="228">
        <f>E62*D62</f>
        <v>15000</v>
      </c>
    </row>
    <row r="63" spans="1:6" ht="15.75">
      <c r="A63" s="231">
        <v>6</v>
      </c>
      <c r="B63" s="207" t="s">
        <v>208</v>
      </c>
      <c r="C63" s="226" t="s">
        <v>207</v>
      </c>
      <c r="D63" s="227">
        <v>1</v>
      </c>
      <c r="E63" s="228">
        <v>26130</v>
      </c>
      <c r="F63" s="228">
        <f>E63*D63</f>
        <v>26130</v>
      </c>
    </row>
    <row r="64" spans="1:6" ht="15.75">
      <c r="A64" s="231">
        <v>7</v>
      </c>
      <c r="B64" s="231" t="s">
        <v>209</v>
      </c>
      <c r="C64" s="226" t="s">
        <v>210</v>
      </c>
      <c r="D64" s="227">
        <v>55</v>
      </c>
      <c r="E64" s="228">
        <v>10055</v>
      </c>
      <c r="F64" s="228">
        <f>E64*D64</f>
        <v>553025</v>
      </c>
    </row>
    <row r="65" spans="1:6" ht="15.75">
      <c r="A65" s="231"/>
      <c r="B65" s="205" t="s">
        <v>211</v>
      </c>
      <c r="C65" s="226"/>
      <c r="D65" s="227"/>
      <c r="E65" s="228"/>
      <c r="F65" s="229">
        <f>F64+F63+F62+F61+F60+F59+F58</f>
        <v>3274754.3419999997</v>
      </c>
    </row>
    <row r="66" spans="1:6" ht="15.75">
      <c r="A66" s="231">
        <v>8</v>
      </c>
      <c r="B66" s="207" t="s">
        <v>142</v>
      </c>
      <c r="C66" s="226" t="s">
        <v>150</v>
      </c>
      <c r="D66" s="227">
        <v>10</v>
      </c>
      <c r="E66" s="228"/>
      <c r="F66" s="228">
        <f>F65/10</f>
        <v>327475.43419999996</v>
      </c>
    </row>
    <row r="67" spans="1:6" ht="15.75">
      <c r="A67" s="231"/>
      <c r="B67" s="205" t="s">
        <v>212</v>
      </c>
      <c r="C67" s="226"/>
      <c r="D67" s="227"/>
      <c r="E67" s="228"/>
      <c r="F67" s="229">
        <f>F66+F65</f>
        <v>3602229.7761999997</v>
      </c>
    </row>
  </sheetData>
  <sheetProtection/>
  <mergeCells count="5">
    <mergeCell ref="A55:F55"/>
    <mergeCell ref="A1:F1"/>
    <mergeCell ref="A12:F12"/>
    <mergeCell ref="A25:F25"/>
    <mergeCell ref="A38:F3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32">
      <selection activeCell="G47" sqref="G47"/>
    </sheetView>
  </sheetViews>
  <sheetFormatPr defaultColWidth="9.140625" defaultRowHeight="15"/>
  <cols>
    <col min="2" max="2" width="56.8515625" style="0" customWidth="1"/>
  </cols>
  <sheetData>
    <row r="1" spans="1:7" ht="23.25" customHeight="1">
      <c r="A1" s="342" t="s">
        <v>21</v>
      </c>
      <c r="B1" s="342" t="s">
        <v>1</v>
      </c>
      <c r="C1" s="342" t="s">
        <v>22</v>
      </c>
      <c r="D1" s="342" t="s">
        <v>23</v>
      </c>
      <c r="E1" s="339" t="s">
        <v>43</v>
      </c>
      <c r="F1" s="339" t="s">
        <v>44</v>
      </c>
      <c r="G1" s="19"/>
    </row>
    <row r="2" spans="1:7" ht="23.25" customHeight="1">
      <c r="A2" s="343"/>
      <c r="B2" s="343"/>
      <c r="C2" s="343"/>
      <c r="D2" s="343"/>
      <c r="E2" s="340"/>
      <c r="F2" s="340"/>
      <c r="G2" s="19"/>
    </row>
    <row r="3" spans="1:7" ht="23.25" customHeight="1" thickBot="1">
      <c r="A3" s="344"/>
      <c r="B3" s="344"/>
      <c r="C3" s="344"/>
      <c r="D3" s="344"/>
      <c r="E3" s="341"/>
      <c r="F3" s="341"/>
      <c r="G3" s="19"/>
    </row>
    <row r="4" spans="1:7" ht="23.25" customHeight="1" thickBot="1">
      <c r="A4" s="79" t="s">
        <v>24</v>
      </c>
      <c r="B4" s="353" t="s">
        <v>238</v>
      </c>
      <c r="C4" s="354"/>
      <c r="D4" s="354"/>
      <c r="E4" s="354"/>
      <c r="F4" s="355"/>
      <c r="G4" s="19"/>
    </row>
    <row r="5" spans="1:7" ht="23.25" customHeight="1" thickBot="1">
      <c r="A5" s="79" t="s">
        <v>3</v>
      </c>
      <c r="B5" s="356" t="s">
        <v>239</v>
      </c>
      <c r="C5" s="337"/>
      <c r="D5" s="337"/>
      <c r="E5" s="337"/>
      <c r="F5" s="338"/>
      <c r="G5" s="19"/>
    </row>
    <row r="6" spans="1:7" ht="23.25" customHeight="1" thickBot="1">
      <c r="A6" s="278">
        <v>1</v>
      </c>
      <c r="B6" s="279" t="s">
        <v>5</v>
      </c>
      <c r="C6" s="280" t="s">
        <v>27</v>
      </c>
      <c r="D6" s="282">
        <v>2500</v>
      </c>
      <c r="E6" s="282">
        <v>2500</v>
      </c>
      <c r="F6" s="283"/>
      <c r="G6" s="19"/>
    </row>
    <row r="7" spans="1:7" ht="23.25" customHeight="1" thickBot="1">
      <c r="A7" s="278">
        <v>2</v>
      </c>
      <c r="B7" s="279" t="s">
        <v>6</v>
      </c>
      <c r="C7" s="280" t="s">
        <v>27</v>
      </c>
      <c r="D7" s="282">
        <v>3568</v>
      </c>
      <c r="E7" s="282">
        <v>3568</v>
      </c>
      <c r="F7" s="283"/>
      <c r="G7" s="19"/>
    </row>
    <row r="8" spans="1:7" ht="23.25" customHeight="1" thickBot="1">
      <c r="A8" s="278">
        <v>3</v>
      </c>
      <c r="B8" s="279" t="s">
        <v>7</v>
      </c>
      <c r="C8" s="280" t="s">
        <v>27</v>
      </c>
      <c r="D8" s="282">
        <v>8466</v>
      </c>
      <c r="E8" s="282">
        <v>8466</v>
      </c>
      <c r="F8" s="283"/>
      <c r="G8" s="19"/>
    </row>
    <row r="9" spans="1:7" ht="23.25" customHeight="1" thickBot="1">
      <c r="A9" s="278">
        <v>4</v>
      </c>
      <c r="B9" s="279" t="s">
        <v>8</v>
      </c>
      <c r="C9" s="280" t="s">
        <v>27</v>
      </c>
      <c r="D9" s="282">
        <v>3598</v>
      </c>
      <c r="E9" s="282">
        <v>3598</v>
      </c>
      <c r="F9" s="283"/>
      <c r="G9" s="19"/>
    </row>
    <row r="10" spans="1:7" ht="23.25" customHeight="1" thickBot="1">
      <c r="A10" s="278">
        <v>5</v>
      </c>
      <c r="B10" s="279" t="s">
        <v>9</v>
      </c>
      <c r="C10" s="280" t="s">
        <v>27</v>
      </c>
      <c r="D10" s="284">
        <v>3778</v>
      </c>
      <c r="E10" s="282">
        <v>3778</v>
      </c>
      <c r="F10" s="283"/>
      <c r="G10" s="19"/>
    </row>
    <row r="11" spans="1:7" ht="23.25" customHeight="1" thickBot="1">
      <c r="A11" s="278">
        <v>6</v>
      </c>
      <c r="B11" s="279" t="s">
        <v>10</v>
      </c>
      <c r="C11" s="280" t="s">
        <v>27</v>
      </c>
      <c r="D11" s="282">
        <v>2124</v>
      </c>
      <c r="E11" s="282">
        <v>2124</v>
      </c>
      <c r="F11" s="283"/>
      <c r="G11" s="19"/>
    </row>
    <row r="12" spans="1:7" ht="23.25" customHeight="1" thickBot="1">
      <c r="A12" s="79" t="s">
        <v>12</v>
      </c>
      <c r="B12" s="356" t="s">
        <v>240</v>
      </c>
      <c r="C12" s="337"/>
      <c r="D12" s="337"/>
      <c r="E12" s="337"/>
      <c r="F12" s="338"/>
      <c r="G12" s="19"/>
    </row>
    <row r="13" spans="1:7" ht="23.25" customHeight="1" thickBot="1">
      <c r="A13" s="285">
        <v>1</v>
      </c>
      <c r="B13" s="286" t="s">
        <v>5</v>
      </c>
      <c r="C13" s="280" t="s">
        <v>27</v>
      </c>
      <c r="D13" s="287">
        <v>2500</v>
      </c>
      <c r="E13" s="282">
        <v>2500</v>
      </c>
      <c r="F13" s="283"/>
      <c r="G13" s="19"/>
    </row>
    <row r="14" spans="1:7" ht="23.25" customHeight="1" thickBot="1">
      <c r="A14" s="285">
        <v>2</v>
      </c>
      <c r="B14" s="286" t="s">
        <v>6</v>
      </c>
      <c r="C14" s="280" t="s">
        <v>27</v>
      </c>
      <c r="D14" s="287">
        <v>6349</v>
      </c>
      <c r="E14" s="282">
        <v>6349</v>
      </c>
      <c r="F14" s="283"/>
      <c r="G14" s="19"/>
    </row>
    <row r="15" spans="1:7" ht="23.25" customHeight="1" thickBot="1">
      <c r="A15" s="285">
        <v>3</v>
      </c>
      <c r="B15" s="286" t="s">
        <v>7</v>
      </c>
      <c r="C15" s="280" t="s">
        <v>27</v>
      </c>
      <c r="D15" s="287">
        <v>8606</v>
      </c>
      <c r="E15" s="282">
        <v>8606</v>
      </c>
      <c r="F15" s="283"/>
      <c r="G15" s="19"/>
    </row>
    <row r="16" spans="1:7" ht="23.25" customHeight="1" thickBot="1">
      <c r="A16" s="285">
        <v>4</v>
      </c>
      <c r="B16" s="286" t="s">
        <v>19</v>
      </c>
      <c r="C16" s="280" t="s">
        <v>27</v>
      </c>
      <c r="D16" s="287">
        <v>4592</v>
      </c>
      <c r="E16" s="282">
        <v>4592</v>
      </c>
      <c r="F16" s="283"/>
      <c r="G16" s="19"/>
    </row>
    <row r="17" spans="1:7" ht="23.25" customHeight="1" thickBot="1">
      <c r="A17" s="285">
        <v>5</v>
      </c>
      <c r="B17" s="286" t="s">
        <v>9</v>
      </c>
      <c r="C17" s="280" t="s">
        <v>27</v>
      </c>
      <c r="D17" s="284">
        <v>8315</v>
      </c>
      <c r="E17" s="282">
        <v>8315</v>
      </c>
      <c r="F17" s="283"/>
      <c r="G17" s="19"/>
    </row>
    <row r="18" spans="1:7" ht="23.25" customHeight="1" thickBot="1">
      <c r="A18" s="285">
        <v>6</v>
      </c>
      <c r="B18" s="286" t="s">
        <v>20</v>
      </c>
      <c r="C18" s="280" t="s">
        <v>27</v>
      </c>
      <c r="D18" s="284">
        <v>6025</v>
      </c>
      <c r="E18" s="282">
        <v>6025</v>
      </c>
      <c r="F18" s="283"/>
      <c r="G18" s="19"/>
    </row>
    <row r="19" spans="1:7" ht="23.25" customHeight="1" thickBot="1">
      <c r="A19" s="79" t="s">
        <v>16</v>
      </c>
      <c r="B19" s="356" t="s">
        <v>235</v>
      </c>
      <c r="C19" s="337"/>
      <c r="D19" s="337"/>
      <c r="E19" s="337"/>
      <c r="F19" s="338"/>
      <c r="G19" s="19"/>
    </row>
    <row r="20" spans="1:7" ht="23.25" customHeight="1" thickBot="1">
      <c r="A20" s="278">
        <v>1</v>
      </c>
      <c r="B20" s="279" t="s">
        <v>5</v>
      </c>
      <c r="C20" s="280" t="s">
        <v>27</v>
      </c>
      <c r="D20" s="287">
        <v>2500</v>
      </c>
      <c r="E20" s="283"/>
      <c r="F20" s="282">
        <v>2500</v>
      </c>
      <c r="G20" s="19"/>
    </row>
    <row r="21" spans="1:7" ht="23.25" customHeight="1" thickBot="1">
      <c r="A21" s="278">
        <v>2</v>
      </c>
      <c r="B21" s="279" t="s">
        <v>6</v>
      </c>
      <c r="C21" s="280" t="s">
        <v>27</v>
      </c>
      <c r="D21" s="287">
        <v>11634</v>
      </c>
      <c r="E21" s="283"/>
      <c r="F21" s="282">
        <v>11634</v>
      </c>
      <c r="G21" s="19"/>
    </row>
    <row r="22" spans="1:7" ht="23.25" customHeight="1" thickBot="1">
      <c r="A22" s="278">
        <v>3</v>
      </c>
      <c r="B22" s="279" t="s">
        <v>7</v>
      </c>
      <c r="C22" s="280" t="s">
        <v>27</v>
      </c>
      <c r="D22" s="287">
        <v>3378</v>
      </c>
      <c r="E22" s="283"/>
      <c r="F22" s="282">
        <v>3378</v>
      </c>
      <c r="G22" s="19"/>
    </row>
    <row r="23" spans="1:7" ht="23.25" customHeight="1" thickBot="1">
      <c r="A23" s="278">
        <v>4</v>
      </c>
      <c r="B23" s="279" t="s">
        <v>8</v>
      </c>
      <c r="C23" s="280" t="s">
        <v>27</v>
      </c>
      <c r="D23" s="287">
        <v>2337</v>
      </c>
      <c r="E23" s="283"/>
      <c r="F23" s="282">
        <v>2337</v>
      </c>
      <c r="G23" s="19"/>
    </row>
    <row r="24" spans="1:7" ht="23.25" customHeight="1" thickBot="1">
      <c r="A24" s="278">
        <v>5</v>
      </c>
      <c r="B24" s="279" t="s">
        <v>9</v>
      </c>
      <c r="C24" s="280" t="s">
        <v>27</v>
      </c>
      <c r="D24" s="284">
        <v>2825</v>
      </c>
      <c r="E24" s="283"/>
      <c r="F24" s="282">
        <v>2825</v>
      </c>
      <c r="G24" s="19"/>
    </row>
    <row r="25" spans="1:7" ht="23.25" customHeight="1" thickBot="1">
      <c r="A25" s="278">
        <v>6</v>
      </c>
      <c r="B25" s="279" t="s">
        <v>10</v>
      </c>
      <c r="C25" s="280" t="s">
        <v>27</v>
      </c>
      <c r="D25" s="284">
        <v>2220</v>
      </c>
      <c r="E25" s="283"/>
      <c r="F25" s="282">
        <v>2220</v>
      </c>
      <c r="G25" s="19"/>
    </row>
    <row r="26" spans="1:7" ht="23.25" customHeight="1" thickBot="1">
      <c r="A26" s="79" t="s">
        <v>30</v>
      </c>
      <c r="B26" s="356" t="s">
        <v>236</v>
      </c>
      <c r="C26" s="337"/>
      <c r="D26" s="337"/>
      <c r="E26" s="337"/>
      <c r="F26" s="338"/>
      <c r="G26" s="19"/>
    </row>
    <row r="27" spans="1:7" ht="23.25" customHeight="1" thickBot="1">
      <c r="A27" s="278">
        <v>1</v>
      </c>
      <c r="B27" s="279" t="s">
        <v>5</v>
      </c>
      <c r="C27" s="280" t="s">
        <v>27</v>
      </c>
      <c r="D27" s="287">
        <v>1000</v>
      </c>
      <c r="E27" s="283"/>
      <c r="F27" s="282">
        <v>1000</v>
      </c>
      <c r="G27" s="19"/>
    </row>
    <row r="28" spans="1:7" ht="23.25" customHeight="1" thickBot="1">
      <c r="A28" s="278">
        <v>2</v>
      </c>
      <c r="B28" s="279" t="s">
        <v>6</v>
      </c>
      <c r="C28" s="280" t="s">
        <v>27</v>
      </c>
      <c r="D28" s="287">
        <v>11494</v>
      </c>
      <c r="E28" s="283"/>
      <c r="F28" s="282">
        <v>11494</v>
      </c>
      <c r="G28" s="19"/>
    </row>
    <row r="29" spans="1:7" ht="23.25" customHeight="1" thickBot="1">
      <c r="A29" s="278">
        <v>3</v>
      </c>
      <c r="B29" s="279" t="s">
        <v>7</v>
      </c>
      <c r="C29" s="280" t="s">
        <v>27</v>
      </c>
      <c r="D29" s="287">
        <v>3647</v>
      </c>
      <c r="E29" s="283"/>
      <c r="F29" s="282">
        <v>3647</v>
      </c>
      <c r="G29" s="19"/>
    </row>
    <row r="30" spans="1:7" ht="23.25" customHeight="1" thickBot="1">
      <c r="A30" s="278">
        <v>4</v>
      </c>
      <c r="B30" s="279" t="s">
        <v>8</v>
      </c>
      <c r="C30" s="280" t="s">
        <v>27</v>
      </c>
      <c r="D30" s="287">
        <v>3602</v>
      </c>
      <c r="E30" s="283"/>
      <c r="F30" s="282">
        <v>3602</v>
      </c>
      <c r="G30" s="19"/>
    </row>
    <row r="31" spans="1:7" ht="23.25" customHeight="1" thickBot="1">
      <c r="A31" s="278">
        <v>5</v>
      </c>
      <c r="B31" s="279" t="s">
        <v>9</v>
      </c>
      <c r="C31" s="280" t="s">
        <v>27</v>
      </c>
      <c r="D31" s="284">
        <v>5746</v>
      </c>
      <c r="E31" s="283"/>
      <c r="F31" s="282">
        <v>5746</v>
      </c>
      <c r="G31" s="19"/>
    </row>
    <row r="32" spans="1:7" ht="23.25" customHeight="1" thickBot="1">
      <c r="A32" s="278">
        <v>6</v>
      </c>
      <c r="B32" s="279" t="s">
        <v>10</v>
      </c>
      <c r="C32" s="280" t="s">
        <v>27</v>
      </c>
      <c r="D32" s="284">
        <v>2388</v>
      </c>
      <c r="E32" s="283"/>
      <c r="F32" s="282">
        <v>2388</v>
      </c>
      <c r="G32" s="19"/>
    </row>
    <row r="33" spans="1:7" ht="23.25" customHeight="1" thickBot="1">
      <c r="A33" s="79" t="s">
        <v>33</v>
      </c>
      <c r="B33" s="353" t="s">
        <v>241</v>
      </c>
      <c r="C33" s="354"/>
      <c r="D33" s="354"/>
      <c r="E33" s="354"/>
      <c r="F33" s="355"/>
      <c r="G33" s="19"/>
    </row>
    <row r="34" spans="1:7" ht="23.25" customHeight="1" thickBot="1">
      <c r="A34" s="285" t="s">
        <v>3</v>
      </c>
      <c r="B34" s="286" t="s">
        <v>35</v>
      </c>
      <c r="C34" s="280" t="s">
        <v>27</v>
      </c>
      <c r="D34" s="282">
        <v>102022</v>
      </c>
      <c r="E34" s="282">
        <v>102022</v>
      </c>
      <c r="F34" s="283"/>
      <c r="G34" s="19"/>
    </row>
    <row r="35" spans="1:7" ht="23.25" customHeight="1" thickBot="1">
      <c r="A35" s="285" t="s">
        <v>12</v>
      </c>
      <c r="B35" s="286" t="s">
        <v>36</v>
      </c>
      <c r="C35" s="280" t="s">
        <v>27</v>
      </c>
      <c r="D35" s="282">
        <v>233669</v>
      </c>
      <c r="E35" s="282">
        <v>233669</v>
      </c>
      <c r="F35" s="283"/>
      <c r="G35" s="19"/>
    </row>
    <row r="36" spans="1:7" ht="23.25" customHeight="1" thickBot="1">
      <c r="A36" s="285" t="s">
        <v>16</v>
      </c>
      <c r="B36" s="286" t="s">
        <v>235</v>
      </c>
      <c r="C36" s="280" t="s">
        <v>27</v>
      </c>
      <c r="D36" s="282">
        <v>119071</v>
      </c>
      <c r="E36" s="283"/>
      <c r="F36" s="282">
        <v>119071</v>
      </c>
      <c r="G36" s="19"/>
    </row>
    <row r="37" spans="1:7" ht="23.25" customHeight="1" thickBot="1">
      <c r="A37" s="285" t="s">
        <v>30</v>
      </c>
      <c r="B37" s="286" t="s">
        <v>236</v>
      </c>
      <c r="C37" s="280" t="s">
        <v>27</v>
      </c>
      <c r="D37" s="282">
        <v>94432</v>
      </c>
      <c r="E37" s="283"/>
      <c r="F37" s="282">
        <v>94432</v>
      </c>
      <c r="G37" s="19"/>
    </row>
    <row r="38" spans="1:7" ht="23.25" customHeight="1" thickBot="1">
      <c r="A38" s="79" t="s">
        <v>39</v>
      </c>
      <c r="B38" s="353" t="s">
        <v>242</v>
      </c>
      <c r="C38" s="354"/>
      <c r="D38" s="354"/>
      <c r="E38" s="354"/>
      <c r="F38" s="355"/>
      <c r="G38" s="19"/>
    </row>
    <row r="39" spans="1:7" ht="23.25" customHeight="1" thickBot="1">
      <c r="A39" s="285" t="s">
        <v>3</v>
      </c>
      <c r="B39" s="286" t="s">
        <v>35</v>
      </c>
      <c r="C39" s="280" t="s">
        <v>27</v>
      </c>
      <c r="D39" s="282">
        <v>20251</v>
      </c>
      <c r="E39" s="282">
        <v>20251</v>
      </c>
      <c r="F39" s="283"/>
      <c r="G39" s="19"/>
    </row>
    <row r="40" spans="1:7" ht="23.25" customHeight="1" thickBot="1">
      <c r="A40" s="285" t="s">
        <v>12</v>
      </c>
      <c r="B40" s="286" t="s">
        <v>36</v>
      </c>
      <c r="C40" s="280" t="s">
        <v>27</v>
      </c>
      <c r="D40" s="282">
        <v>37832</v>
      </c>
      <c r="E40" s="282">
        <v>37832</v>
      </c>
      <c r="F40" s="283"/>
      <c r="G40" s="19"/>
    </row>
    <row r="41" spans="1:7" ht="23.25" customHeight="1" thickBot="1">
      <c r="A41" s="285" t="s">
        <v>16</v>
      </c>
      <c r="B41" s="286" t="s">
        <v>235</v>
      </c>
      <c r="C41" s="280" t="s">
        <v>27</v>
      </c>
      <c r="D41" s="282">
        <v>21593</v>
      </c>
      <c r="E41" s="283"/>
      <c r="F41" s="282">
        <v>21593</v>
      </c>
      <c r="G41" s="19"/>
    </row>
    <row r="42" spans="1:7" ht="23.25" customHeight="1" thickBot="1">
      <c r="A42" s="285" t="s">
        <v>30</v>
      </c>
      <c r="B42" s="286" t="s">
        <v>236</v>
      </c>
      <c r="C42" s="280" t="s">
        <v>27</v>
      </c>
      <c r="D42" s="282">
        <v>24108</v>
      </c>
      <c r="E42" s="283"/>
      <c r="F42" s="282">
        <v>24108</v>
      </c>
      <c r="G42" s="19"/>
    </row>
    <row r="43" spans="1:7" ht="23.25" customHeight="1" thickBot="1">
      <c r="A43" s="285"/>
      <c r="B43" s="268" t="s">
        <v>232</v>
      </c>
      <c r="C43" s="280"/>
      <c r="D43" s="292"/>
      <c r="E43" s="283">
        <f>(E35+E34)*2/100</f>
        <v>6713.82</v>
      </c>
      <c r="F43" s="282">
        <f>(F37+F36)*2/100</f>
        <v>4270.06</v>
      </c>
      <c r="G43" s="19"/>
    </row>
    <row r="44" spans="1:7" ht="23.25" customHeight="1" thickBot="1">
      <c r="A44" s="285"/>
      <c r="B44" s="268" t="s">
        <v>233</v>
      </c>
      <c r="C44" s="280"/>
      <c r="D44" s="282"/>
      <c r="E44" s="283">
        <f>(E40+E39+E35+E34+E18+E17+E16+E15+E14+E13+E11+E10+E9+E8+E7+E6)*5/100</f>
        <v>22709.75</v>
      </c>
      <c r="F44" s="282">
        <f>(F42+F41+F37+F36+F32+F31+F30+F29+F28+F27+F25+F24+F23+F22+F21+F20)*5/100</f>
        <v>15598.75</v>
      </c>
      <c r="G44" s="19"/>
    </row>
    <row r="45" spans="1:7" ht="23.25" customHeight="1" thickBot="1">
      <c r="A45" s="285"/>
      <c r="B45" s="268" t="s">
        <v>234</v>
      </c>
      <c r="C45" s="280"/>
      <c r="D45" s="282"/>
      <c r="E45" s="283">
        <f>(E44+E43+E40+E39+E35+E34+E18+E17+E16+E15+E14+E13+E11+E10+E9+E8+E7+E6)*5/100</f>
        <v>24180.9285</v>
      </c>
      <c r="F45" s="282">
        <f>(F44+F43+F42+F41+F37+F36+F32+F31+F30+F29+F28+F27+F25+F24+F23+F22+F21+F20)*5/100</f>
        <v>16592.1905</v>
      </c>
      <c r="G45" s="19"/>
    </row>
    <row r="46" spans="1:7" ht="23.25" customHeight="1" thickBot="1">
      <c r="A46" s="288"/>
      <c r="B46" s="289" t="s">
        <v>11</v>
      </c>
      <c r="C46" s="290"/>
      <c r="D46" s="291"/>
      <c r="E46" s="284">
        <f>E45+E44+E43+E40+E39+E35+E34+E18+E17+E16+E15+E14+E13+E11+E10+E9+E8+E7+E6</f>
        <v>507799.4985</v>
      </c>
      <c r="F46" s="284">
        <f>F45+F44+F43+F42+F41+F37+F36+F32+F31+F30+F29+F28+F27+F25+F24+F23+F22+F21+F20</f>
        <v>348436.00049999997</v>
      </c>
      <c r="G46" s="19"/>
    </row>
    <row r="47" ht="15">
      <c r="G47" s="281">
        <f>F46+E46</f>
        <v>856235.499</v>
      </c>
    </row>
  </sheetData>
  <sheetProtection/>
  <mergeCells count="13">
    <mergeCell ref="F1:F3"/>
    <mergeCell ref="A1:A3"/>
    <mergeCell ref="B1:B3"/>
    <mergeCell ref="C1:C3"/>
    <mergeCell ref="D1:D3"/>
    <mergeCell ref="E1:E3"/>
    <mergeCell ref="B38:F38"/>
    <mergeCell ref="B4:F4"/>
    <mergeCell ref="B5:F5"/>
    <mergeCell ref="B12:F12"/>
    <mergeCell ref="B19:F19"/>
    <mergeCell ref="B26:F26"/>
    <mergeCell ref="B33:F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="70" zoomScaleNormal="70" workbookViewId="0" topLeftCell="A1">
      <selection activeCell="C3" sqref="C3:C9"/>
    </sheetView>
  </sheetViews>
  <sheetFormatPr defaultColWidth="9.140625" defaultRowHeight="15"/>
  <cols>
    <col min="2" max="2" width="36.7109375" style="0" customWidth="1"/>
    <col min="3" max="3" width="15.00390625" style="238" bestFit="1" customWidth="1"/>
    <col min="7" max="7" width="45.8515625" style="0" customWidth="1"/>
    <col min="8" max="8" width="17.7109375" style="0" customWidth="1"/>
  </cols>
  <sheetData>
    <row r="1" spans="1:8" ht="23.25" customHeight="1">
      <c r="A1" s="18" t="s">
        <v>0</v>
      </c>
      <c r="B1" s="18" t="s">
        <v>1</v>
      </c>
      <c r="C1" s="236" t="s">
        <v>2</v>
      </c>
      <c r="F1" s="17" t="s">
        <v>0</v>
      </c>
      <c r="G1" s="17" t="s">
        <v>1</v>
      </c>
      <c r="H1" s="18" t="s">
        <v>2</v>
      </c>
    </row>
    <row r="2" spans="1:8" ht="23.25" customHeight="1">
      <c r="A2" s="18" t="s">
        <v>3</v>
      </c>
      <c r="B2" s="54" t="s">
        <v>4</v>
      </c>
      <c r="C2" s="237"/>
      <c r="F2" s="4" t="s">
        <v>3</v>
      </c>
      <c r="G2" s="4" t="s">
        <v>4</v>
      </c>
      <c r="H2" s="37"/>
    </row>
    <row r="3" spans="1:8" ht="23.25" customHeight="1">
      <c r="A3" s="55">
        <v>1</v>
      </c>
      <c r="B3" s="56" t="s">
        <v>5</v>
      </c>
      <c r="C3" s="42">
        <v>2500</v>
      </c>
      <c r="D3">
        <v>2500</v>
      </c>
      <c r="F3" s="7">
        <v>1</v>
      </c>
      <c r="G3" s="7" t="s">
        <v>5</v>
      </c>
      <c r="H3" s="8">
        <f>C3</f>
        <v>2500</v>
      </c>
    </row>
    <row r="4" spans="1:8" ht="23.25" customHeight="1">
      <c r="A4" s="55">
        <v>2</v>
      </c>
      <c r="B4" s="56" t="s">
        <v>6</v>
      </c>
      <c r="C4" s="42">
        <f>'HT KHUAT XA'!F11/1000</f>
        <v>6348.716154000001</v>
      </c>
      <c r="F4" s="7">
        <v>2</v>
      </c>
      <c r="G4" s="7" t="s">
        <v>6</v>
      </c>
      <c r="H4" s="8">
        <f>C4</f>
        <v>6348.716154000001</v>
      </c>
    </row>
    <row r="5" spans="1:8" ht="23.25" customHeight="1">
      <c r="A5" s="55">
        <v>3</v>
      </c>
      <c r="B5" s="56" t="s">
        <v>7</v>
      </c>
      <c r="C5" s="42">
        <f>'HT KHUAT XA'!F29/1000</f>
        <v>8606.420900000001</v>
      </c>
      <c r="F5" s="7">
        <v>3</v>
      </c>
      <c r="G5" s="7" t="s">
        <v>7</v>
      </c>
      <c r="H5" s="8">
        <f>C5</f>
        <v>8606.420900000001</v>
      </c>
    </row>
    <row r="6" spans="1:8" ht="23.25" customHeight="1">
      <c r="A6" s="55">
        <v>4</v>
      </c>
      <c r="B6" s="56" t="s">
        <v>19</v>
      </c>
      <c r="C6" s="42">
        <f>'HT KHUAT XA'!F75/1000</f>
        <v>4592.4348822</v>
      </c>
      <c r="F6" s="7">
        <v>4</v>
      </c>
      <c r="G6" s="7" t="s">
        <v>8</v>
      </c>
      <c r="H6" s="8">
        <f>C6</f>
        <v>4592.4348822</v>
      </c>
    </row>
    <row r="7" spans="1:8" ht="23.25" customHeight="1">
      <c r="A7" s="55">
        <v>5</v>
      </c>
      <c r="B7" s="56" t="s">
        <v>9</v>
      </c>
      <c r="C7" s="9">
        <f>'HT KHUAT XA'!F44/1000</f>
        <v>8314.75975</v>
      </c>
      <c r="F7" s="7">
        <v>5</v>
      </c>
      <c r="G7" s="7" t="s">
        <v>9</v>
      </c>
      <c r="H7" s="9">
        <f>C7</f>
        <v>8314.75975</v>
      </c>
    </row>
    <row r="8" spans="1:8" ht="23.25" customHeight="1">
      <c r="A8" s="55">
        <v>6</v>
      </c>
      <c r="B8" s="56" t="s">
        <v>20</v>
      </c>
      <c r="C8" s="9">
        <f>'HT KHUAT XA'!F60/1000</f>
        <v>6024.777</v>
      </c>
      <c r="F8" s="7">
        <v>6</v>
      </c>
      <c r="G8" s="7" t="s">
        <v>10</v>
      </c>
      <c r="H8" s="8">
        <f>C8</f>
        <v>6024.777</v>
      </c>
    </row>
    <row r="9" spans="1:8" ht="23.25" customHeight="1">
      <c r="A9" s="18"/>
      <c r="B9" s="54" t="s">
        <v>11</v>
      </c>
      <c r="C9" s="272">
        <f>C8+C7+C6+C5+C4+C3</f>
        <v>36387.1086862</v>
      </c>
      <c r="F9" s="4"/>
      <c r="G9" s="4" t="s">
        <v>11</v>
      </c>
      <c r="H9" s="10">
        <f>C9</f>
        <v>36387.1086862</v>
      </c>
    </row>
    <row r="10" spans="6:8" ht="23.25" customHeight="1">
      <c r="F10" s="4" t="s">
        <v>12</v>
      </c>
      <c r="G10" s="4" t="s">
        <v>13</v>
      </c>
      <c r="H10" s="10"/>
    </row>
    <row r="11" spans="6:10" ht="33" customHeight="1">
      <c r="F11" s="7">
        <v>1</v>
      </c>
      <c r="G11" s="7" t="s">
        <v>14</v>
      </c>
      <c r="H11" s="38">
        <f>'NOI DI'!H65/1000000</f>
        <v>0</v>
      </c>
      <c r="J11" s="11">
        <v>127.254</v>
      </c>
    </row>
    <row r="12" spans="6:8" ht="33" customHeight="1">
      <c r="F12" s="7">
        <v>2</v>
      </c>
      <c r="G12" s="7" t="s">
        <v>15</v>
      </c>
      <c r="H12" s="38">
        <f>'NOI DEN'!H13/1000000</f>
        <v>36596.2</v>
      </c>
    </row>
    <row r="13" spans="6:8" ht="33" customHeight="1">
      <c r="F13" s="4"/>
      <c r="G13" s="4" t="s">
        <v>11</v>
      </c>
      <c r="H13" s="10">
        <f>H12+H11</f>
        <v>36596.2</v>
      </c>
    </row>
    <row r="14" spans="6:8" ht="33" customHeight="1">
      <c r="F14" s="4" t="s">
        <v>16</v>
      </c>
      <c r="G14" s="4" t="s">
        <v>17</v>
      </c>
      <c r="H14" s="39" t="e">
        <f>('NOI DI'!#REF!+'NOI DI'!#REF!)/1000000</f>
        <v>#REF!</v>
      </c>
    </row>
    <row r="15" spans="6:8" ht="33" customHeight="1">
      <c r="F15" s="4"/>
      <c r="G15" s="4" t="s">
        <v>18</v>
      </c>
      <c r="H15" s="10" t="e">
        <f>H14+H13+H9</f>
        <v>#REF!</v>
      </c>
    </row>
    <row r="16" ht="33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="85" zoomScaleNormal="85" workbookViewId="0" topLeftCell="A1">
      <selection activeCell="F1" sqref="F1:H15"/>
    </sheetView>
  </sheetViews>
  <sheetFormatPr defaultColWidth="9.140625" defaultRowHeight="15"/>
  <cols>
    <col min="2" max="2" width="27.28125" style="0" customWidth="1"/>
    <col min="3" max="3" width="14.8515625" style="238" bestFit="1" customWidth="1"/>
    <col min="7" max="7" width="52.28125" style="0" customWidth="1"/>
    <col min="8" max="8" width="13.28125" style="0" customWidth="1"/>
  </cols>
  <sheetData>
    <row r="1" spans="1:8" ht="16.5" customHeight="1" thickBot="1">
      <c r="A1" s="12" t="s">
        <v>0</v>
      </c>
      <c r="B1" s="1" t="s">
        <v>1</v>
      </c>
      <c r="C1" s="239" t="s">
        <v>2</v>
      </c>
      <c r="F1" s="17" t="s">
        <v>0</v>
      </c>
      <c r="G1" s="17" t="s">
        <v>1</v>
      </c>
      <c r="H1" s="18" t="s">
        <v>2</v>
      </c>
    </row>
    <row r="2" spans="1:8" ht="16.5" customHeight="1" thickBot="1">
      <c r="A2" s="13" t="s">
        <v>3</v>
      </c>
      <c r="B2" s="14" t="s">
        <v>4</v>
      </c>
      <c r="C2" s="240"/>
      <c r="F2" s="4" t="s">
        <v>3</v>
      </c>
      <c r="G2" s="4" t="s">
        <v>4</v>
      </c>
      <c r="H2" s="37"/>
    </row>
    <row r="3" spans="1:8" ht="16.5" customHeight="1" thickBot="1">
      <c r="A3" s="15">
        <v>1</v>
      </c>
      <c r="B3" s="16" t="s">
        <v>5</v>
      </c>
      <c r="C3" s="241">
        <v>2500</v>
      </c>
      <c r="D3">
        <v>2500</v>
      </c>
      <c r="F3" s="7">
        <v>1</v>
      </c>
      <c r="G3" s="7" t="s">
        <v>5</v>
      </c>
      <c r="H3" s="8">
        <f>C3</f>
        <v>2500</v>
      </c>
    </row>
    <row r="4" spans="1:8" ht="16.5" customHeight="1" thickBot="1">
      <c r="A4" s="15">
        <v>2</v>
      </c>
      <c r="B4" s="16" t="s">
        <v>6</v>
      </c>
      <c r="C4" s="241">
        <f>'HT POHANG'!F11/1000</f>
        <v>11633.592189999998</v>
      </c>
      <c r="F4" s="7">
        <v>2</v>
      </c>
      <c r="G4" s="7" t="s">
        <v>6</v>
      </c>
      <c r="H4" s="8">
        <f>C4</f>
        <v>11633.592189999998</v>
      </c>
    </row>
    <row r="5" spans="1:8" ht="16.5" customHeight="1" thickBot="1">
      <c r="A5" s="15">
        <v>3</v>
      </c>
      <c r="B5" s="16" t="s">
        <v>7</v>
      </c>
      <c r="C5" s="241">
        <f>'HT POHANG'!F24/1000</f>
        <v>3378.155</v>
      </c>
      <c r="F5" s="7">
        <v>3</v>
      </c>
      <c r="G5" s="7" t="s">
        <v>7</v>
      </c>
      <c r="H5" s="8">
        <f>C5</f>
        <v>3378.155</v>
      </c>
    </row>
    <row r="6" spans="1:8" ht="16.5" customHeight="1" thickBot="1">
      <c r="A6" s="15">
        <v>4</v>
      </c>
      <c r="B6" s="16" t="s">
        <v>19</v>
      </c>
      <c r="C6" s="241">
        <f>'HT POHANG'!F72/1000</f>
        <v>2337.4148600000003</v>
      </c>
      <c r="F6" s="7">
        <v>4</v>
      </c>
      <c r="G6" s="7" t="s">
        <v>8</v>
      </c>
      <c r="H6" s="8">
        <f>C6</f>
        <v>2337.4148600000003</v>
      </c>
    </row>
    <row r="7" spans="1:8" ht="16.5" customHeight="1" thickBot="1">
      <c r="A7" s="15">
        <v>5</v>
      </c>
      <c r="B7" s="16" t="s">
        <v>9</v>
      </c>
      <c r="C7" s="242">
        <f>'HT POHANG'!F41/1000</f>
        <v>2825.4325</v>
      </c>
      <c r="F7" s="7">
        <v>5</v>
      </c>
      <c r="G7" s="7" t="s">
        <v>9</v>
      </c>
      <c r="H7" s="9">
        <f>C7</f>
        <v>2825.4325</v>
      </c>
    </row>
    <row r="8" spans="1:8" ht="16.5" customHeight="1" thickBot="1">
      <c r="A8" s="15">
        <v>6</v>
      </c>
      <c r="B8" s="16" t="s">
        <v>20</v>
      </c>
      <c r="C8" s="242">
        <f>'HT POHANG'!F58/1000</f>
        <v>2220.427</v>
      </c>
      <c r="F8" s="7">
        <v>6</v>
      </c>
      <c r="G8" s="7" t="s">
        <v>10</v>
      </c>
      <c r="H8" s="8">
        <f>C8</f>
        <v>2220.427</v>
      </c>
    </row>
    <row r="9" spans="1:8" ht="16.5" customHeight="1" thickBot="1">
      <c r="A9" s="13"/>
      <c r="B9" s="14" t="s">
        <v>11</v>
      </c>
      <c r="C9" s="240">
        <f>C8+C7+C6+C5+C4+C3</f>
        <v>24895.021549999998</v>
      </c>
      <c r="F9" s="4"/>
      <c r="G9" s="4" t="s">
        <v>11</v>
      </c>
      <c r="H9" s="10">
        <f>C9</f>
        <v>24895.021549999998</v>
      </c>
    </row>
    <row r="10" spans="6:8" ht="16.5" customHeight="1">
      <c r="F10" s="4" t="s">
        <v>12</v>
      </c>
      <c r="G10" s="4" t="s">
        <v>13</v>
      </c>
      <c r="H10" s="10"/>
    </row>
    <row r="11" spans="6:8" ht="16.5" customHeight="1">
      <c r="F11" s="7">
        <v>1</v>
      </c>
      <c r="G11" s="7" t="s">
        <v>14</v>
      </c>
      <c r="H11" s="38">
        <f>'NOI DI'!J65/1000000</f>
        <v>0</v>
      </c>
    </row>
    <row r="12" spans="6:8" ht="16.5" customHeight="1">
      <c r="F12" s="7">
        <v>2</v>
      </c>
      <c r="G12" s="7" t="s">
        <v>15</v>
      </c>
      <c r="H12" s="38">
        <f>'NOI DEN'!J13/1000000</f>
        <v>24685.96</v>
      </c>
    </row>
    <row r="13" spans="6:8" ht="16.5" customHeight="1">
      <c r="F13" s="4"/>
      <c r="G13" s="4" t="s">
        <v>11</v>
      </c>
      <c r="H13" s="10">
        <f>H12+H11</f>
        <v>24685.96</v>
      </c>
    </row>
    <row r="14" spans="6:8" ht="16.5" customHeight="1">
      <c r="F14" s="4" t="s">
        <v>16</v>
      </c>
      <c r="G14" s="4" t="s">
        <v>17</v>
      </c>
      <c r="H14" s="40" t="e">
        <f>('NOI DI'!#REF!+'NOI DI'!#REF!)/1000000</f>
        <v>#REF!</v>
      </c>
    </row>
    <row r="15" spans="6:8" ht="16.5" customHeight="1" thickBot="1">
      <c r="F15" s="2"/>
      <c r="G15" s="3" t="s">
        <v>18</v>
      </c>
      <c r="H15" s="41" t="e">
        <f>H14+H13+H9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7">
      <selection activeCell="D24" sqref="D24"/>
    </sheetView>
  </sheetViews>
  <sheetFormatPr defaultColWidth="9.140625" defaultRowHeight="15"/>
  <cols>
    <col min="2" max="2" width="26.00390625" style="0" customWidth="1"/>
    <col min="3" max="3" width="14.8515625" style="238" bestFit="1" customWidth="1"/>
    <col min="7" max="8" width="28.28125" style="0" customWidth="1"/>
  </cols>
  <sheetData>
    <row r="1" spans="1:8" ht="18.75" customHeight="1" thickBot="1">
      <c r="A1" s="12" t="s">
        <v>0</v>
      </c>
      <c r="B1" s="1" t="s">
        <v>1</v>
      </c>
      <c r="C1" s="239" t="s">
        <v>2</v>
      </c>
      <c r="F1" s="17" t="s">
        <v>0</v>
      </c>
      <c r="G1" s="17" t="s">
        <v>1</v>
      </c>
      <c r="H1" s="18" t="s">
        <v>2</v>
      </c>
    </row>
    <row r="2" spans="1:8" ht="18.75" customHeight="1" thickBot="1">
      <c r="A2" s="13" t="s">
        <v>3</v>
      </c>
      <c r="B2" s="14" t="s">
        <v>4</v>
      </c>
      <c r="C2" s="240"/>
      <c r="F2" s="4" t="s">
        <v>3</v>
      </c>
      <c r="G2" s="4" t="s">
        <v>4</v>
      </c>
      <c r="H2" s="4"/>
    </row>
    <row r="3" spans="1:8" ht="18.75" customHeight="1" thickBot="1">
      <c r="A3" s="15">
        <v>1</v>
      </c>
      <c r="B3" s="16" t="s">
        <v>5</v>
      </c>
      <c r="C3" s="241">
        <v>1000</v>
      </c>
      <c r="D3">
        <v>2500</v>
      </c>
      <c r="F3" s="7">
        <v>1</v>
      </c>
      <c r="G3" s="7" t="s">
        <v>5</v>
      </c>
      <c r="H3" s="8">
        <f>C3</f>
        <v>1000</v>
      </c>
    </row>
    <row r="4" spans="1:8" ht="18.75" customHeight="1" thickBot="1">
      <c r="A4" s="15">
        <v>2</v>
      </c>
      <c r="B4" s="16" t="s">
        <v>6</v>
      </c>
      <c r="C4" s="241">
        <f>'HT NA LOONG'!F10/1000</f>
        <v>11493.513922000002</v>
      </c>
      <c r="F4" s="7">
        <v>2</v>
      </c>
      <c r="G4" s="7" t="s">
        <v>6</v>
      </c>
      <c r="H4" s="8">
        <f>C4</f>
        <v>11493.513922000002</v>
      </c>
    </row>
    <row r="5" spans="1:8" ht="18.75" customHeight="1" thickBot="1">
      <c r="A5" s="15">
        <v>3</v>
      </c>
      <c r="B5" s="16" t="s">
        <v>7</v>
      </c>
      <c r="C5" s="241">
        <f>'HT NA LOONG'!F23/1000</f>
        <v>3647.325</v>
      </c>
      <c r="F5" s="7">
        <v>3</v>
      </c>
      <c r="G5" s="7" t="s">
        <v>7</v>
      </c>
      <c r="H5" s="8">
        <f>C5</f>
        <v>3647.325</v>
      </c>
    </row>
    <row r="6" spans="1:8" ht="18.75" customHeight="1" thickBot="1">
      <c r="A6" s="15">
        <v>4</v>
      </c>
      <c r="B6" s="16" t="s">
        <v>19</v>
      </c>
      <c r="C6" s="241">
        <f>'HT NA LOONG'!F67/1000</f>
        <v>3602.2297762</v>
      </c>
      <c r="F6" s="7">
        <v>4</v>
      </c>
      <c r="G6" s="7" t="s">
        <v>8</v>
      </c>
      <c r="H6" s="8">
        <f>C6</f>
        <v>3602.2297762</v>
      </c>
    </row>
    <row r="7" spans="1:8" ht="18.75" customHeight="1" thickBot="1">
      <c r="A7" s="15">
        <v>5</v>
      </c>
      <c r="B7" s="16" t="s">
        <v>9</v>
      </c>
      <c r="C7" s="242">
        <f>'HT NA LOONG'!F36/1000</f>
        <v>5745.5585</v>
      </c>
      <c r="F7" s="7">
        <v>5</v>
      </c>
      <c r="G7" s="7" t="s">
        <v>9</v>
      </c>
      <c r="H7" s="9">
        <f>C7</f>
        <v>5745.5585</v>
      </c>
    </row>
    <row r="8" spans="1:8" ht="18.75" customHeight="1" thickBot="1">
      <c r="A8" s="15">
        <v>6</v>
      </c>
      <c r="B8" s="16" t="s">
        <v>20</v>
      </c>
      <c r="C8" s="242">
        <f>'HT NA LOONG'!F53/1000</f>
        <v>2387.748</v>
      </c>
      <c r="F8" s="7">
        <v>6</v>
      </c>
      <c r="G8" s="7" t="s">
        <v>10</v>
      </c>
      <c r="H8" s="8">
        <f>C8</f>
        <v>2387.748</v>
      </c>
    </row>
    <row r="9" spans="1:8" ht="18.75" customHeight="1" thickBot="1">
      <c r="A9" s="13"/>
      <c r="B9" s="14" t="s">
        <v>11</v>
      </c>
      <c r="C9" s="240">
        <f>C8+C7+C6+C5+C4+C3</f>
        <v>27876.375198200003</v>
      </c>
      <c r="F9" s="4"/>
      <c r="G9" s="4" t="s">
        <v>11</v>
      </c>
      <c r="H9" s="10">
        <f>C9</f>
        <v>27876.375198200003</v>
      </c>
    </row>
    <row r="10" spans="6:8" ht="18.75" customHeight="1">
      <c r="F10" s="4" t="s">
        <v>12</v>
      </c>
      <c r="G10" s="4" t="s">
        <v>13</v>
      </c>
      <c r="H10" s="10"/>
    </row>
    <row r="11" spans="6:8" ht="18.75" customHeight="1">
      <c r="F11" s="7">
        <v>1</v>
      </c>
      <c r="G11" s="7" t="s">
        <v>14</v>
      </c>
      <c r="H11" s="38">
        <f>'NOI DI'!L65/1000000</f>
        <v>0</v>
      </c>
    </row>
    <row r="12" spans="6:8" ht="18.75" customHeight="1">
      <c r="F12" s="7">
        <v>2</v>
      </c>
      <c r="G12" s="7" t="s">
        <v>15</v>
      </c>
      <c r="H12" s="38">
        <f>'NOI DEN'!L13/1000000</f>
        <v>29156.460000000003</v>
      </c>
    </row>
    <row r="13" spans="6:8" ht="18.75" customHeight="1">
      <c r="F13" s="4"/>
      <c r="G13" s="4" t="s">
        <v>11</v>
      </c>
      <c r="H13" s="10">
        <f>H12+H11</f>
        <v>29156.460000000003</v>
      </c>
    </row>
    <row r="14" spans="6:8" ht="18.75" customHeight="1">
      <c r="F14" s="4" t="s">
        <v>16</v>
      </c>
      <c r="G14" s="4" t="s">
        <v>17</v>
      </c>
      <c r="H14" s="40" t="e">
        <f>('NOI DI'!#REF!+'NOI DI'!#REF!)/1000000</f>
        <v>#REF!</v>
      </c>
    </row>
    <row r="15" spans="6:8" ht="18.75" customHeight="1" thickBot="1">
      <c r="F15" s="2"/>
      <c r="G15" s="3" t="s">
        <v>18</v>
      </c>
      <c r="H15" s="41" t="e">
        <f>H14+H13+H9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3">
      <selection activeCell="A1" sqref="A1:D37"/>
    </sheetView>
  </sheetViews>
  <sheetFormatPr defaultColWidth="9.140625" defaultRowHeight="15"/>
  <cols>
    <col min="2" max="2" width="39.7109375" style="0" customWidth="1"/>
    <col min="4" max="4" width="9.140625" style="53" customWidth="1"/>
  </cols>
  <sheetData>
    <row r="1" spans="1:5" ht="16.5" customHeight="1">
      <c r="A1" s="358" t="s">
        <v>21</v>
      </c>
      <c r="B1" s="358" t="s">
        <v>1</v>
      </c>
      <c r="C1" s="358" t="s">
        <v>22</v>
      </c>
      <c r="D1" s="359" t="s">
        <v>23</v>
      </c>
      <c r="E1" s="19"/>
    </row>
    <row r="2" spans="1:5" ht="16.5" customHeight="1">
      <c r="A2" s="358"/>
      <c r="B2" s="358"/>
      <c r="C2" s="358"/>
      <c r="D2" s="359"/>
      <c r="E2" s="19"/>
    </row>
    <row r="3" spans="1:5" ht="16.5" customHeight="1">
      <c r="A3" s="358"/>
      <c r="B3" s="358"/>
      <c r="C3" s="358"/>
      <c r="D3" s="359"/>
      <c r="E3" s="19"/>
    </row>
    <row r="4" spans="1:5" ht="16.5" customHeight="1">
      <c r="A4" s="26" t="s">
        <v>24</v>
      </c>
      <c r="B4" s="26" t="s">
        <v>25</v>
      </c>
      <c r="C4" s="25"/>
      <c r="D4" s="45"/>
      <c r="E4" s="19"/>
    </row>
    <row r="5" spans="1:5" ht="16.5" customHeight="1">
      <c r="A5" s="22" t="s">
        <v>3</v>
      </c>
      <c r="B5" s="357" t="s">
        <v>26</v>
      </c>
      <c r="C5" s="357"/>
      <c r="D5" s="357"/>
      <c r="E5" s="19"/>
    </row>
    <row r="6" spans="1:5" ht="16.5" customHeight="1">
      <c r="A6" s="23">
        <v>1</v>
      </c>
      <c r="B6" s="23" t="s">
        <v>5</v>
      </c>
      <c r="C6" s="23" t="s">
        <v>27</v>
      </c>
      <c r="D6" s="46">
        <f>'PAC MA'!C3</f>
        <v>2500</v>
      </c>
      <c r="E6" s="19"/>
    </row>
    <row r="7" spans="1:5" ht="16.5" customHeight="1">
      <c r="A7" s="23">
        <v>2</v>
      </c>
      <c r="B7" s="23" t="s">
        <v>6</v>
      </c>
      <c r="C7" s="23" t="s">
        <v>27</v>
      </c>
      <c r="D7" s="46">
        <f>'PAC MA'!C4</f>
        <v>3567.9212469999993</v>
      </c>
      <c r="E7" s="19"/>
    </row>
    <row r="8" spans="1:5" ht="16.5" customHeight="1">
      <c r="A8" s="23">
        <v>3</v>
      </c>
      <c r="B8" s="23" t="s">
        <v>7</v>
      </c>
      <c r="C8" s="23" t="s">
        <v>27</v>
      </c>
      <c r="D8" s="46">
        <f>'PAC MA'!C5</f>
        <v>8465.6</v>
      </c>
      <c r="E8" s="19"/>
    </row>
    <row r="9" spans="1:5" ht="16.5" customHeight="1">
      <c r="A9" s="23">
        <v>4</v>
      </c>
      <c r="B9" s="23" t="s">
        <v>8</v>
      </c>
      <c r="C9" s="23" t="s">
        <v>27</v>
      </c>
      <c r="D9" s="46">
        <f>'PAC MA'!C6</f>
        <v>3598.155</v>
      </c>
      <c r="E9" s="19"/>
    </row>
    <row r="10" spans="1:5" ht="16.5" customHeight="1">
      <c r="A10" s="23">
        <v>5</v>
      </c>
      <c r="B10" s="23" t="s">
        <v>9</v>
      </c>
      <c r="C10" s="23" t="s">
        <v>27</v>
      </c>
      <c r="D10" s="47">
        <f>'PAC MA'!C7</f>
        <v>3778.13425</v>
      </c>
      <c r="E10" s="19"/>
    </row>
    <row r="11" spans="1:5" ht="16.5" customHeight="1">
      <c r="A11" s="23">
        <v>6</v>
      </c>
      <c r="B11" s="23" t="s">
        <v>10</v>
      </c>
      <c r="C11" s="23" t="s">
        <v>27</v>
      </c>
      <c r="D11" s="46">
        <f>'PAC MA'!C8</f>
        <v>2123.869</v>
      </c>
      <c r="E11" s="19"/>
    </row>
    <row r="12" spans="1:5" ht="16.5" customHeight="1">
      <c r="A12" s="24"/>
      <c r="B12" s="24" t="s">
        <v>11</v>
      </c>
      <c r="C12" s="23" t="s">
        <v>27</v>
      </c>
      <c r="D12" s="48">
        <f>D6+D7+D8+D9+D10+D11</f>
        <v>24033.679496999997</v>
      </c>
      <c r="E12" s="19"/>
    </row>
    <row r="13" spans="1:5" ht="16.5" customHeight="1">
      <c r="A13" s="22" t="s">
        <v>12</v>
      </c>
      <c r="B13" s="357" t="s">
        <v>28</v>
      </c>
      <c r="C13" s="357"/>
      <c r="D13" s="357"/>
      <c r="E13" s="19"/>
    </row>
    <row r="14" spans="1:5" ht="16.5" customHeight="1">
      <c r="A14" s="25">
        <v>1</v>
      </c>
      <c r="B14" s="25" t="s">
        <v>5</v>
      </c>
      <c r="C14" s="23" t="s">
        <v>27</v>
      </c>
      <c r="D14" s="49">
        <f>'KHUAT XA'!C3</f>
        <v>2500</v>
      </c>
      <c r="E14" s="19"/>
    </row>
    <row r="15" spans="1:5" ht="16.5" customHeight="1">
      <c r="A15" s="25">
        <v>2</v>
      </c>
      <c r="B15" s="25" t="s">
        <v>6</v>
      </c>
      <c r="C15" s="23" t="s">
        <v>27</v>
      </c>
      <c r="D15" s="49">
        <f>'KHUAT XA'!C4</f>
        <v>6348.716154000001</v>
      </c>
      <c r="E15" s="19"/>
    </row>
    <row r="16" spans="1:5" ht="16.5" customHeight="1">
      <c r="A16" s="25">
        <v>3</v>
      </c>
      <c r="B16" s="25" t="s">
        <v>7</v>
      </c>
      <c r="C16" s="23" t="s">
        <v>27</v>
      </c>
      <c r="D16" s="49">
        <f>'KHUAT XA'!C5</f>
        <v>8606.420900000001</v>
      </c>
      <c r="E16" s="19"/>
    </row>
    <row r="17" spans="1:5" ht="16.5" customHeight="1">
      <c r="A17" s="25">
        <v>4</v>
      </c>
      <c r="B17" s="25" t="s">
        <v>19</v>
      </c>
      <c r="C17" s="23" t="s">
        <v>27</v>
      </c>
      <c r="D17" s="49">
        <f>'KHUAT XA'!C6</f>
        <v>4592.4348822</v>
      </c>
      <c r="E17" s="19"/>
    </row>
    <row r="18" spans="1:5" ht="16.5" customHeight="1">
      <c r="A18" s="25">
        <v>5</v>
      </c>
      <c r="B18" s="25" t="s">
        <v>9</v>
      </c>
      <c r="C18" s="23" t="s">
        <v>27</v>
      </c>
      <c r="D18" s="50">
        <f>'KHUAT XA'!C7</f>
        <v>8314.75975</v>
      </c>
      <c r="E18" s="19"/>
    </row>
    <row r="19" spans="1:5" ht="16.5" customHeight="1">
      <c r="A19" s="25">
        <v>6</v>
      </c>
      <c r="B19" s="25" t="s">
        <v>20</v>
      </c>
      <c r="C19" s="23" t="s">
        <v>27</v>
      </c>
      <c r="D19" s="50">
        <f>'KHUAT XA'!C8</f>
        <v>6024.777</v>
      </c>
      <c r="E19" s="19"/>
    </row>
    <row r="20" spans="1:5" ht="16.5" customHeight="1">
      <c r="A20" s="26"/>
      <c r="B20" s="26" t="s">
        <v>11</v>
      </c>
      <c r="C20" s="23" t="s">
        <v>27</v>
      </c>
      <c r="D20" s="51">
        <f>D19+D18+D17+D16+D15+D14</f>
        <v>36387.1086862</v>
      </c>
      <c r="E20" s="19"/>
    </row>
    <row r="21" spans="1:5" ht="16.5" customHeight="1">
      <c r="A21" s="22" t="s">
        <v>16</v>
      </c>
      <c r="B21" s="357" t="s">
        <v>29</v>
      </c>
      <c r="C21" s="357"/>
      <c r="D21" s="357"/>
      <c r="E21" s="19"/>
    </row>
    <row r="22" spans="1:5" ht="16.5" customHeight="1">
      <c r="A22" s="23">
        <v>1</v>
      </c>
      <c r="B22" s="23" t="s">
        <v>5</v>
      </c>
      <c r="C22" s="23" t="s">
        <v>27</v>
      </c>
      <c r="D22" s="49">
        <f>'PO HANG'!C3</f>
        <v>2500</v>
      </c>
      <c r="E22" s="19"/>
    </row>
    <row r="23" spans="1:5" ht="16.5" customHeight="1">
      <c r="A23" s="23">
        <v>2</v>
      </c>
      <c r="B23" s="23" t="s">
        <v>6</v>
      </c>
      <c r="C23" s="23" t="s">
        <v>27</v>
      </c>
      <c r="D23" s="49">
        <f>'PO HANG'!C4</f>
        <v>11633.592189999998</v>
      </c>
      <c r="E23" s="19"/>
    </row>
    <row r="24" spans="1:5" ht="16.5" customHeight="1">
      <c r="A24" s="23">
        <v>3</v>
      </c>
      <c r="B24" s="23" t="s">
        <v>7</v>
      </c>
      <c r="C24" s="23" t="s">
        <v>27</v>
      </c>
      <c r="D24" s="49">
        <f>'PO HANG'!C5</f>
        <v>3378.155</v>
      </c>
      <c r="E24" s="19"/>
    </row>
    <row r="25" spans="1:5" ht="16.5" customHeight="1">
      <c r="A25" s="23">
        <v>4</v>
      </c>
      <c r="B25" s="23" t="s">
        <v>8</v>
      </c>
      <c r="C25" s="23" t="s">
        <v>27</v>
      </c>
      <c r="D25" s="49">
        <f>'PO HANG'!C6</f>
        <v>2337.4148600000003</v>
      </c>
      <c r="E25" s="19"/>
    </row>
    <row r="26" spans="1:5" ht="16.5" customHeight="1">
      <c r="A26" s="23">
        <v>5</v>
      </c>
      <c r="B26" s="23" t="s">
        <v>9</v>
      </c>
      <c r="C26" s="23" t="s">
        <v>27</v>
      </c>
      <c r="D26" s="50">
        <f>'PO HANG'!C7</f>
        <v>2825.4325</v>
      </c>
      <c r="E26" s="19"/>
    </row>
    <row r="27" spans="1:5" ht="16.5" customHeight="1">
      <c r="A27" s="23">
        <v>6</v>
      </c>
      <c r="B27" s="23" t="s">
        <v>10</v>
      </c>
      <c r="C27" s="23" t="s">
        <v>27</v>
      </c>
      <c r="D27" s="50">
        <f>'PO HANG'!C8</f>
        <v>2220.427</v>
      </c>
      <c r="E27" s="19"/>
    </row>
    <row r="28" spans="1:5" ht="16.5" customHeight="1">
      <c r="A28" s="24"/>
      <c r="B28" s="24" t="s">
        <v>11</v>
      </c>
      <c r="C28" s="23" t="s">
        <v>27</v>
      </c>
      <c r="D28" s="51">
        <f>D27+D26+D25+D24+D23+D22</f>
        <v>24895.021549999998</v>
      </c>
      <c r="E28" s="19"/>
    </row>
    <row r="29" spans="1:5" ht="16.5" customHeight="1">
      <c r="A29" s="22" t="s">
        <v>30</v>
      </c>
      <c r="B29" s="357" t="s">
        <v>31</v>
      </c>
      <c r="C29" s="357"/>
      <c r="D29" s="357"/>
      <c r="E29" s="19"/>
    </row>
    <row r="30" spans="1:5" ht="16.5" customHeight="1">
      <c r="A30" s="23">
        <v>1</v>
      </c>
      <c r="B30" s="23" t="s">
        <v>5</v>
      </c>
      <c r="C30" s="23" t="s">
        <v>27</v>
      </c>
      <c r="D30" s="49">
        <f>'NA LONG'!C3</f>
        <v>1000</v>
      </c>
      <c r="E30" s="19"/>
    </row>
    <row r="31" spans="1:5" ht="16.5" customHeight="1">
      <c r="A31" s="23">
        <v>2</v>
      </c>
      <c r="B31" s="23" t="s">
        <v>6</v>
      </c>
      <c r="C31" s="23" t="s">
        <v>27</v>
      </c>
      <c r="D31" s="49">
        <f>'NA LONG'!C4</f>
        <v>11493.513922000002</v>
      </c>
      <c r="E31" s="19"/>
    </row>
    <row r="32" spans="1:5" ht="16.5" customHeight="1">
      <c r="A32" s="23">
        <v>3</v>
      </c>
      <c r="B32" s="23" t="s">
        <v>7</v>
      </c>
      <c r="C32" s="23" t="s">
        <v>27</v>
      </c>
      <c r="D32" s="49">
        <f>'NA LONG'!C5</f>
        <v>3647.325</v>
      </c>
      <c r="E32" s="19"/>
    </row>
    <row r="33" spans="1:5" ht="16.5" customHeight="1">
      <c r="A33" s="23">
        <v>4</v>
      </c>
      <c r="B33" s="23" t="s">
        <v>8</v>
      </c>
      <c r="C33" s="23" t="s">
        <v>27</v>
      </c>
      <c r="D33" s="49">
        <f>'NA LONG'!C6</f>
        <v>3602.2297762</v>
      </c>
      <c r="E33" s="19"/>
    </row>
    <row r="34" spans="1:5" ht="16.5" customHeight="1">
      <c r="A34" s="23">
        <v>5</v>
      </c>
      <c r="B34" s="23" t="s">
        <v>9</v>
      </c>
      <c r="C34" s="23" t="s">
        <v>27</v>
      </c>
      <c r="D34" s="50">
        <f>'NA LONG'!C7</f>
        <v>5745.5585</v>
      </c>
      <c r="E34" s="19"/>
    </row>
    <row r="35" spans="1:5" ht="16.5" customHeight="1">
      <c r="A35" s="23">
        <v>6</v>
      </c>
      <c r="B35" s="23" t="s">
        <v>10</v>
      </c>
      <c r="C35" s="23" t="s">
        <v>27</v>
      </c>
      <c r="D35" s="50">
        <f>'NA LONG'!C8</f>
        <v>2387.748</v>
      </c>
      <c r="E35" s="19"/>
    </row>
    <row r="36" spans="1:5" ht="16.5" customHeight="1">
      <c r="A36" s="24"/>
      <c r="B36" s="24" t="s">
        <v>11</v>
      </c>
      <c r="C36" s="23" t="s">
        <v>27</v>
      </c>
      <c r="D36" s="51">
        <f>D35+D34+D33+D32+D31+D30</f>
        <v>27876.375198200003</v>
      </c>
      <c r="E36" s="19"/>
    </row>
    <row r="37" spans="1:5" ht="48" customHeight="1" thickBot="1">
      <c r="A37" s="21"/>
      <c r="B37" s="20" t="s">
        <v>32</v>
      </c>
      <c r="C37" s="44" t="s">
        <v>27</v>
      </c>
      <c r="D37" s="52">
        <f>D36+D28+D20+D12</f>
        <v>113192.1849314</v>
      </c>
      <c r="E37" s="19"/>
    </row>
  </sheetData>
  <sheetProtection/>
  <mergeCells count="8">
    <mergeCell ref="B21:D21"/>
    <mergeCell ref="B29:D29"/>
    <mergeCell ref="A1:A3"/>
    <mergeCell ref="B1:B3"/>
    <mergeCell ref="C1:C3"/>
    <mergeCell ref="D1:D3"/>
    <mergeCell ref="B5:D5"/>
    <mergeCell ref="B13:D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37">
      <selection activeCell="B47" sqref="B47:B49"/>
    </sheetView>
  </sheetViews>
  <sheetFormatPr defaultColWidth="9.140625" defaultRowHeight="15"/>
  <cols>
    <col min="1" max="1" width="9.140625" style="249" customWidth="1"/>
    <col min="2" max="2" width="41.7109375" style="270" customWidth="1"/>
    <col min="3" max="3" width="9.140625" style="249" customWidth="1"/>
    <col min="4" max="4" width="13.140625" style="30" bestFit="1" customWidth="1"/>
    <col min="5" max="5" width="19.28125" style="249" customWidth="1"/>
    <col min="6" max="16384" width="9.140625" style="249" customWidth="1"/>
  </cols>
  <sheetData>
    <row r="1" spans="1:5" ht="15">
      <c r="A1" s="363" t="s">
        <v>21</v>
      </c>
      <c r="B1" s="366" t="s">
        <v>1</v>
      </c>
      <c r="C1" s="366" t="s">
        <v>22</v>
      </c>
      <c r="D1" s="370" t="s">
        <v>23</v>
      </c>
      <c r="E1" s="249"/>
    </row>
    <row r="2" spans="1:4" ht="15">
      <c r="A2" s="364"/>
      <c r="B2" s="367"/>
      <c r="C2" s="367"/>
      <c r="D2" s="371"/>
    </row>
    <row r="3" spans="1:4" ht="15.75" thickBot="1">
      <c r="A3" s="365"/>
      <c r="B3" s="368"/>
      <c r="C3" s="369"/>
      <c r="D3" s="372"/>
    </row>
    <row r="4" spans="1:5" ht="15.75">
      <c r="A4" s="250" t="s">
        <v>24</v>
      </c>
      <c r="B4" s="265" t="s">
        <v>25</v>
      </c>
      <c r="C4" s="251" t="s">
        <v>27</v>
      </c>
      <c r="D4" s="252">
        <f>D12+D20+D28+D36</f>
        <v>113192.1849314</v>
      </c>
      <c r="E4" s="249"/>
    </row>
    <row r="5" spans="1:4" ht="15.75">
      <c r="A5" s="253" t="s">
        <v>3</v>
      </c>
      <c r="B5" s="360" t="s">
        <v>45</v>
      </c>
      <c r="C5" s="361"/>
      <c r="D5" s="362"/>
    </row>
    <row r="6" spans="1:5" ht="18" customHeight="1">
      <c r="A6" s="254">
        <v>1</v>
      </c>
      <c r="B6" s="266" t="s">
        <v>5</v>
      </c>
      <c r="C6" s="255" t="s">
        <v>27</v>
      </c>
      <c r="D6" s="256">
        <f>'PAC MA'!C3</f>
        <v>2500</v>
      </c>
      <c r="E6" s="249"/>
    </row>
    <row r="7" spans="1:5" ht="18" customHeight="1">
      <c r="A7" s="254">
        <v>2</v>
      </c>
      <c r="B7" s="266" t="s">
        <v>6</v>
      </c>
      <c r="C7" s="255" t="s">
        <v>27</v>
      </c>
      <c r="D7" s="256">
        <f>'PAC MA'!C4</f>
        <v>3567.9212469999993</v>
      </c>
      <c r="E7" s="249"/>
    </row>
    <row r="8" spans="1:5" ht="18" customHeight="1">
      <c r="A8" s="254">
        <v>3</v>
      </c>
      <c r="B8" s="266" t="s">
        <v>7</v>
      </c>
      <c r="C8" s="255" t="s">
        <v>27</v>
      </c>
      <c r="D8" s="256">
        <f>'PAC MA'!C5</f>
        <v>8465.6</v>
      </c>
      <c r="E8" s="249"/>
    </row>
    <row r="9" spans="1:5" ht="18" customHeight="1">
      <c r="A9" s="254">
        <v>4</v>
      </c>
      <c r="B9" s="266" t="s">
        <v>8</v>
      </c>
      <c r="C9" s="255" t="s">
        <v>27</v>
      </c>
      <c r="D9" s="256">
        <f>'PAC MA'!C6</f>
        <v>3598.155</v>
      </c>
      <c r="E9" s="249"/>
    </row>
    <row r="10" spans="1:5" ht="18" customHeight="1">
      <c r="A10" s="254">
        <v>5</v>
      </c>
      <c r="B10" s="266" t="s">
        <v>9</v>
      </c>
      <c r="C10" s="255" t="s">
        <v>27</v>
      </c>
      <c r="D10" s="60">
        <f>'PAC MA'!C7</f>
        <v>3778.13425</v>
      </c>
      <c r="E10" s="30"/>
    </row>
    <row r="11" spans="1:5" ht="18" customHeight="1">
      <c r="A11" s="254">
        <v>6</v>
      </c>
      <c r="B11" s="266" t="s">
        <v>10</v>
      </c>
      <c r="C11" s="255" t="s">
        <v>27</v>
      </c>
      <c r="D11" s="256">
        <f>'PAC MA'!C8</f>
        <v>2123.869</v>
      </c>
      <c r="E11" s="249"/>
    </row>
    <row r="12" spans="1:5" ht="18" customHeight="1">
      <c r="A12" s="253"/>
      <c r="B12" s="267" t="s">
        <v>11</v>
      </c>
      <c r="C12" s="255" t="s">
        <v>27</v>
      </c>
      <c r="D12" s="257">
        <f>D6+D7+D8+D9+D10+D11</f>
        <v>24033.679496999997</v>
      </c>
      <c r="E12" s="249"/>
    </row>
    <row r="13" spans="1:4" ht="18" customHeight="1">
      <c r="A13" s="253" t="s">
        <v>12</v>
      </c>
      <c r="B13" s="360" t="s">
        <v>28</v>
      </c>
      <c r="C13" s="361"/>
      <c r="D13" s="362"/>
    </row>
    <row r="14" spans="1:5" ht="18" customHeight="1">
      <c r="A14" s="254">
        <v>1</v>
      </c>
      <c r="B14" s="266" t="s">
        <v>5</v>
      </c>
      <c r="C14" s="255" t="s">
        <v>27</v>
      </c>
      <c r="D14" s="256">
        <f>'KHUAT XA'!C3</f>
        <v>2500</v>
      </c>
      <c r="E14" s="249"/>
    </row>
    <row r="15" spans="1:5" ht="18" customHeight="1">
      <c r="A15" s="254">
        <v>2</v>
      </c>
      <c r="B15" s="266" t="s">
        <v>6</v>
      </c>
      <c r="C15" s="255" t="s">
        <v>27</v>
      </c>
      <c r="D15" s="256">
        <f>'KHUAT XA'!C4</f>
        <v>6348.716154000001</v>
      </c>
      <c r="E15" s="249"/>
    </row>
    <row r="16" spans="1:5" ht="18" customHeight="1">
      <c r="A16" s="254">
        <v>3</v>
      </c>
      <c r="B16" s="266" t="s">
        <v>7</v>
      </c>
      <c r="C16" s="255" t="s">
        <v>27</v>
      </c>
      <c r="D16" s="256">
        <f>'KHUAT XA'!C5</f>
        <v>8606.420900000001</v>
      </c>
      <c r="E16" s="249"/>
    </row>
    <row r="17" spans="1:4" ht="18" customHeight="1">
      <c r="A17" s="254">
        <v>4</v>
      </c>
      <c r="B17" s="266" t="s">
        <v>19</v>
      </c>
      <c r="C17" s="255" t="s">
        <v>27</v>
      </c>
      <c r="D17" s="256">
        <f>'KHUAT XA'!C6</f>
        <v>4592.4348822</v>
      </c>
    </row>
    <row r="18" spans="1:4" ht="18" customHeight="1">
      <c r="A18" s="254">
        <v>5</v>
      </c>
      <c r="B18" s="266" t="s">
        <v>9</v>
      </c>
      <c r="C18" s="255" t="s">
        <v>27</v>
      </c>
      <c r="D18" s="60">
        <f>'KHUAT XA'!C7</f>
        <v>8314.75975</v>
      </c>
    </row>
    <row r="19" spans="1:4" ht="18" customHeight="1">
      <c r="A19" s="254">
        <v>6</v>
      </c>
      <c r="B19" s="266" t="s">
        <v>20</v>
      </c>
      <c r="C19" s="255" t="s">
        <v>27</v>
      </c>
      <c r="D19" s="60">
        <f>'KHUAT XA'!C8</f>
        <v>6024.777</v>
      </c>
    </row>
    <row r="20" spans="1:4" ht="18" customHeight="1">
      <c r="A20" s="253"/>
      <c r="B20" s="267" t="s">
        <v>11</v>
      </c>
      <c r="C20" s="255" t="s">
        <v>27</v>
      </c>
      <c r="D20" s="257">
        <f>D19+D18+D17+D16+D15+D14</f>
        <v>36387.1086862</v>
      </c>
    </row>
    <row r="21" spans="1:4" ht="15.75" customHeight="1">
      <c r="A21" s="253" t="s">
        <v>16</v>
      </c>
      <c r="B21" s="360" t="s">
        <v>235</v>
      </c>
      <c r="C21" s="361"/>
      <c r="D21" s="362"/>
    </row>
    <row r="22" spans="1:4" ht="18" customHeight="1">
      <c r="A22" s="254">
        <v>1</v>
      </c>
      <c r="B22" s="266" t="s">
        <v>5</v>
      </c>
      <c r="C22" s="255" t="s">
        <v>27</v>
      </c>
      <c r="D22" s="256">
        <f>'PO HANG'!C3</f>
        <v>2500</v>
      </c>
    </row>
    <row r="23" spans="1:4" ht="18" customHeight="1">
      <c r="A23" s="254">
        <v>2</v>
      </c>
      <c r="B23" s="266" t="s">
        <v>6</v>
      </c>
      <c r="C23" s="255" t="s">
        <v>27</v>
      </c>
      <c r="D23" s="256">
        <f>'PO HANG'!C4</f>
        <v>11633.592189999998</v>
      </c>
    </row>
    <row r="24" spans="1:4" ht="18" customHeight="1">
      <c r="A24" s="254">
        <v>3</v>
      </c>
      <c r="B24" s="266" t="s">
        <v>7</v>
      </c>
      <c r="C24" s="255" t="s">
        <v>27</v>
      </c>
      <c r="D24" s="256">
        <f>'PO HANG'!C5</f>
        <v>3378.155</v>
      </c>
    </row>
    <row r="25" spans="1:4" ht="18" customHeight="1">
      <c r="A25" s="254">
        <v>4</v>
      </c>
      <c r="B25" s="266" t="s">
        <v>8</v>
      </c>
      <c r="C25" s="255" t="s">
        <v>27</v>
      </c>
      <c r="D25" s="256">
        <f>'PO HANG'!C6</f>
        <v>2337.4148600000003</v>
      </c>
    </row>
    <row r="26" spans="1:4" ht="18" customHeight="1">
      <c r="A26" s="254">
        <v>5</v>
      </c>
      <c r="B26" s="266" t="s">
        <v>9</v>
      </c>
      <c r="C26" s="255" t="s">
        <v>27</v>
      </c>
      <c r="D26" s="60">
        <f>'PO HANG'!C7</f>
        <v>2825.4325</v>
      </c>
    </row>
    <row r="27" spans="1:4" ht="18" customHeight="1">
      <c r="A27" s="254">
        <v>6</v>
      </c>
      <c r="B27" s="266" t="s">
        <v>10</v>
      </c>
      <c r="C27" s="255" t="s">
        <v>27</v>
      </c>
      <c r="D27" s="60">
        <f>'PO HANG'!C8</f>
        <v>2220.427</v>
      </c>
    </row>
    <row r="28" spans="1:4" ht="18" customHeight="1">
      <c r="A28" s="253"/>
      <c r="B28" s="267" t="s">
        <v>11</v>
      </c>
      <c r="C28" s="255" t="s">
        <v>27</v>
      </c>
      <c r="D28" s="257">
        <f>D27+D26+D25+D24+D23+D22</f>
        <v>24895.021549999998</v>
      </c>
    </row>
    <row r="29" spans="1:4" ht="18" customHeight="1">
      <c r="A29" s="253" t="s">
        <v>30</v>
      </c>
      <c r="B29" s="360" t="s">
        <v>236</v>
      </c>
      <c r="C29" s="361"/>
      <c r="D29" s="362"/>
    </row>
    <row r="30" spans="1:4" ht="18" customHeight="1">
      <c r="A30" s="254">
        <v>1</v>
      </c>
      <c r="B30" s="266" t="s">
        <v>5</v>
      </c>
      <c r="C30" s="255" t="s">
        <v>27</v>
      </c>
      <c r="D30" s="256">
        <f>'NA LONG'!C3</f>
        <v>1000</v>
      </c>
    </row>
    <row r="31" spans="1:4" ht="18" customHeight="1">
      <c r="A31" s="254">
        <v>2</v>
      </c>
      <c r="B31" s="266" t="s">
        <v>6</v>
      </c>
      <c r="C31" s="255" t="s">
        <v>27</v>
      </c>
      <c r="D31" s="256">
        <f>'NA LONG'!C4</f>
        <v>11493.513922000002</v>
      </c>
    </row>
    <row r="32" spans="1:4" ht="18" customHeight="1">
      <c r="A32" s="254">
        <v>3</v>
      </c>
      <c r="B32" s="266" t="s">
        <v>7</v>
      </c>
      <c r="C32" s="255" t="s">
        <v>27</v>
      </c>
      <c r="D32" s="256">
        <f>'NA LONG'!C5</f>
        <v>3647.325</v>
      </c>
    </row>
    <row r="33" spans="1:4" ht="18" customHeight="1">
      <c r="A33" s="254">
        <v>4</v>
      </c>
      <c r="B33" s="266" t="s">
        <v>8</v>
      </c>
      <c r="C33" s="255" t="s">
        <v>27</v>
      </c>
      <c r="D33" s="256">
        <f>'NA LONG'!C6</f>
        <v>3602.2297762</v>
      </c>
    </row>
    <row r="34" spans="1:4" ht="18" customHeight="1">
      <c r="A34" s="254">
        <v>5</v>
      </c>
      <c r="B34" s="266" t="s">
        <v>9</v>
      </c>
      <c r="C34" s="255" t="s">
        <v>27</v>
      </c>
      <c r="D34" s="60">
        <f>'NA LONG'!C7</f>
        <v>5745.5585</v>
      </c>
    </row>
    <row r="35" spans="1:4" ht="18" customHeight="1">
      <c r="A35" s="254">
        <v>6</v>
      </c>
      <c r="B35" s="266" t="s">
        <v>10</v>
      </c>
      <c r="C35" s="255" t="s">
        <v>27</v>
      </c>
      <c r="D35" s="60">
        <f>'NA LONG'!C8</f>
        <v>2387.748</v>
      </c>
    </row>
    <row r="36" spans="1:4" ht="18" customHeight="1">
      <c r="A36" s="253"/>
      <c r="B36" s="267" t="s">
        <v>11</v>
      </c>
      <c r="C36" s="255" t="s">
        <v>27</v>
      </c>
      <c r="D36" s="257">
        <f>D35+D34+D33+D32+D31+D30</f>
        <v>27876.375198200003</v>
      </c>
    </row>
    <row r="37" spans="1:4" ht="32.25" thickBot="1">
      <c r="A37" s="258" t="s">
        <v>33</v>
      </c>
      <c r="B37" s="268" t="s">
        <v>34</v>
      </c>
      <c r="C37" s="260" t="s">
        <v>27</v>
      </c>
      <c r="D37" s="261">
        <f>D38+D39+D40+D41</f>
        <v>107092.26</v>
      </c>
    </row>
    <row r="38" spans="1:4" ht="32.25" thickBot="1">
      <c r="A38" s="262" t="s">
        <v>3</v>
      </c>
      <c r="B38" s="269" t="s">
        <v>35</v>
      </c>
      <c r="C38" s="260" t="s">
        <v>27</v>
      </c>
      <c r="D38" s="263">
        <f>'PAC MA'!H13</f>
        <v>16653.64</v>
      </c>
    </row>
    <row r="39" spans="1:4" s="264" customFormat="1" ht="32.25" thickBot="1">
      <c r="A39" s="258" t="s">
        <v>12</v>
      </c>
      <c r="B39" s="268" t="s">
        <v>36</v>
      </c>
      <c r="C39" s="259" t="s">
        <v>27</v>
      </c>
      <c r="D39" s="261">
        <f>'KHUAT XA'!H13</f>
        <v>36596.2</v>
      </c>
    </row>
    <row r="40" spans="1:4" s="264" customFormat="1" ht="32.25" thickBot="1">
      <c r="A40" s="258" t="s">
        <v>16</v>
      </c>
      <c r="B40" s="268" t="s">
        <v>235</v>
      </c>
      <c r="C40" s="259" t="s">
        <v>27</v>
      </c>
      <c r="D40" s="261">
        <f>'PO HANG'!H13</f>
        <v>24685.96</v>
      </c>
    </row>
    <row r="41" spans="1:4" s="264" customFormat="1" ht="32.25" thickBot="1">
      <c r="A41" s="258" t="s">
        <v>30</v>
      </c>
      <c r="B41" s="268" t="s">
        <v>236</v>
      </c>
      <c r="C41" s="259" t="s">
        <v>27</v>
      </c>
      <c r="D41" s="261">
        <f>'NA LONG'!H13</f>
        <v>29156.460000000003</v>
      </c>
    </row>
    <row r="42" spans="1:4" ht="16.5" thickBot="1">
      <c r="A42" s="258" t="s">
        <v>39</v>
      </c>
      <c r="B42" s="268" t="s">
        <v>40</v>
      </c>
      <c r="C42" s="260" t="s">
        <v>27</v>
      </c>
      <c r="D42" s="261" t="e">
        <f>D43+D44+D45+D46</f>
        <v>#REF!</v>
      </c>
    </row>
    <row r="43" spans="1:4" s="264" customFormat="1" ht="32.25" thickBot="1">
      <c r="A43" s="258" t="s">
        <v>3</v>
      </c>
      <c r="B43" s="268" t="s">
        <v>35</v>
      </c>
      <c r="C43" s="259" t="s">
        <v>27</v>
      </c>
      <c r="D43" s="261" t="e">
        <f>'PAC MA'!H14</f>
        <v>#REF!</v>
      </c>
    </row>
    <row r="44" spans="1:4" s="264" customFormat="1" ht="32.25" thickBot="1">
      <c r="A44" s="258" t="s">
        <v>12</v>
      </c>
      <c r="B44" s="268" t="s">
        <v>36</v>
      </c>
      <c r="C44" s="259" t="s">
        <v>27</v>
      </c>
      <c r="D44" s="261" t="e">
        <f>'KHUAT XA'!H14</f>
        <v>#REF!</v>
      </c>
    </row>
    <row r="45" spans="1:4" s="264" customFormat="1" ht="32.25" thickBot="1">
      <c r="A45" s="258" t="s">
        <v>16</v>
      </c>
      <c r="B45" s="268" t="s">
        <v>235</v>
      </c>
      <c r="C45" s="259" t="s">
        <v>27</v>
      </c>
      <c r="D45" s="261" t="e">
        <f>'PO HANG'!H14</f>
        <v>#REF!</v>
      </c>
    </row>
    <row r="46" spans="1:4" s="264" customFormat="1" ht="32.25" thickBot="1">
      <c r="A46" s="258" t="s">
        <v>30</v>
      </c>
      <c r="B46" s="268" t="s">
        <v>236</v>
      </c>
      <c r="C46" s="259" t="s">
        <v>27</v>
      </c>
      <c r="D46" s="261" t="e">
        <f>'NA LONG'!H14</f>
        <v>#REF!</v>
      </c>
    </row>
    <row r="47" spans="1:4" ht="16.5" thickBot="1">
      <c r="A47" s="258" t="s">
        <v>41</v>
      </c>
      <c r="B47" s="268" t="s">
        <v>232</v>
      </c>
      <c r="C47" s="260" t="s">
        <v>27</v>
      </c>
      <c r="D47" s="261">
        <f>D37*2/100</f>
        <v>2141.8451999999997</v>
      </c>
    </row>
    <row r="48" spans="1:4" ht="16.5" thickBot="1">
      <c r="A48" s="258" t="s">
        <v>42</v>
      </c>
      <c r="B48" s="268" t="s">
        <v>233</v>
      </c>
      <c r="C48" s="260" t="s">
        <v>27</v>
      </c>
      <c r="D48" s="261" t="e">
        <f>(D4+D37+D42)*5/100</f>
        <v>#REF!</v>
      </c>
    </row>
    <row r="49" spans="1:5" ht="32.25" thickBot="1">
      <c r="A49" s="258" t="s">
        <v>111</v>
      </c>
      <c r="B49" s="268" t="s">
        <v>234</v>
      </c>
      <c r="C49" s="260" t="s">
        <v>27</v>
      </c>
      <c r="D49" s="261" t="e">
        <f>(D4+D37+D42+D47+D48)*5/100</f>
        <v>#REF!</v>
      </c>
      <c r="E49" s="249"/>
    </row>
    <row r="50" spans="1:5" ht="16.5" thickBot="1">
      <c r="A50" s="258"/>
      <c r="B50" s="268" t="s">
        <v>237</v>
      </c>
      <c r="C50" s="259"/>
      <c r="D50" s="261" t="e">
        <f>D49+D48+D47+D42+D37+D4</f>
        <v>#REF!</v>
      </c>
      <c r="E50" s="30"/>
    </row>
  </sheetData>
  <sheetProtection/>
  <mergeCells count="8">
    <mergeCell ref="B21:D21"/>
    <mergeCell ref="B29:D29"/>
    <mergeCell ref="A1:A3"/>
    <mergeCell ref="B1:B3"/>
    <mergeCell ref="C1:C3"/>
    <mergeCell ref="D1:D3"/>
    <mergeCell ref="B5:D5"/>
    <mergeCell ref="B13:D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3">
      <selection activeCell="F46" sqref="A1:F46"/>
    </sheetView>
  </sheetViews>
  <sheetFormatPr defaultColWidth="9.140625" defaultRowHeight="15"/>
  <cols>
    <col min="1" max="1" width="9.140625" style="243" customWidth="1"/>
    <col min="2" max="2" width="36.7109375" style="247" customWidth="1"/>
    <col min="3" max="3" width="9.140625" style="243" customWidth="1"/>
    <col min="4" max="4" width="12.28125" style="71" customWidth="1"/>
    <col min="5" max="5" width="13.28125" style="71" customWidth="1"/>
    <col min="6" max="6" width="16.28125" style="71" customWidth="1"/>
    <col min="7" max="16384" width="9.140625" style="29" customWidth="1"/>
  </cols>
  <sheetData>
    <row r="1" spans="1:7" ht="18.75" customHeight="1">
      <c r="A1" s="359" t="s">
        <v>21</v>
      </c>
      <c r="B1" s="373" t="s">
        <v>1</v>
      </c>
      <c r="C1" s="373" t="s">
        <v>22</v>
      </c>
      <c r="D1" s="374" t="s">
        <v>23</v>
      </c>
      <c r="E1" s="376" t="s">
        <v>43</v>
      </c>
      <c r="F1" s="376" t="s">
        <v>44</v>
      </c>
      <c r="G1" s="29"/>
    </row>
    <row r="2" spans="1:6" ht="18.75" customHeight="1">
      <c r="A2" s="359"/>
      <c r="B2" s="373"/>
      <c r="C2" s="373"/>
      <c r="D2" s="374"/>
      <c r="E2" s="376"/>
      <c r="F2" s="376"/>
    </row>
    <row r="3" spans="1:6" ht="18.75" customHeight="1">
      <c r="A3" s="359"/>
      <c r="B3" s="373"/>
      <c r="C3" s="373"/>
      <c r="D3" s="374"/>
      <c r="E3" s="376"/>
      <c r="F3" s="376"/>
    </row>
    <row r="4" spans="1:6" ht="18.75" customHeight="1">
      <c r="A4" s="58" t="s">
        <v>24</v>
      </c>
      <c r="B4" s="246" t="s">
        <v>25</v>
      </c>
      <c r="C4" s="27"/>
      <c r="D4" s="59"/>
      <c r="E4" s="271"/>
      <c r="F4" s="271"/>
    </row>
    <row r="5" spans="1:7" ht="51" customHeight="1">
      <c r="A5" s="58" t="s">
        <v>3</v>
      </c>
      <c r="B5" s="375" t="s">
        <v>45</v>
      </c>
      <c r="C5" s="375"/>
      <c r="D5" s="375"/>
      <c r="E5" s="271"/>
      <c r="F5" s="271"/>
      <c r="G5" s="277">
        <f>F5+E5</f>
        <v>0</v>
      </c>
    </row>
    <row r="6" spans="1:7" ht="18.75" customHeight="1">
      <c r="A6" s="175">
        <v>1</v>
      </c>
      <c r="B6" s="244" t="s">
        <v>5</v>
      </c>
      <c r="C6" s="28" t="s">
        <v>27</v>
      </c>
      <c r="D6" s="8">
        <f>2!D6</f>
        <v>2500</v>
      </c>
      <c r="E6" s="271">
        <f>D6</f>
        <v>2500</v>
      </c>
      <c r="F6" s="271"/>
      <c r="G6" s="277">
        <f>F6+E6</f>
        <v>2500</v>
      </c>
    </row>
    <row r="7" spans="1:7" ht="18.75" customHeight="1">
      <c r="A7" s="175">
        <v>2</v>
      </c>
      <c r="B7" s="244" t="s">
        <v>6</v>
      </c>
      <c r="C7" s="28" t="s">
        <v>27</v>
      </c>
      <c r="D7" s="8">
        <f>2!D7</f>
        <v>3567.9212469999993</v>
      </c>
      <c r="E7" s="271">
        <f>D7</f>
        <v>3567.9212469999993</v>
      </c>
      <c r="F7" s="271"/>
      <c r="G7" s="277">
        <f>F7+E7</f>
        <v>3567.9212469999993</v>
      </c>
    </row>
    <row r="8" spans="1:7" ht="18.75" customHeight="1">
      <c r="A8" s="175">
        <v>3</v>
      </c>
      <c r="B8" s="244" t="s">
        <v>7</v>
      </c>
      <c r="C8" s="28" t="s">
        <v>27</v>
      </c>
      <c r="D8" s="8">
        <f>2!D8</f>
        <v>8465.6</v>
      </c>
      <c r="E8" s="271">
        <f>D8</f>
        <v>8465.6</v>
      </c>
      <c r="F8" s="271"/>
      <c r="G8" s="277">
        <f>F8+E8</f>
        <v>8465.6</v>
      </c>
    </row>
    <row r="9" spans="1:7" ht="18.75" customHeight="1">
      <c r="A9" s="175">
        <v>4</v>
      </c>
      <c r="B9" s="244" t="s">
        <v>8</v>
      </c>
      <c r="C9" s="28" t="s">
        <v>27</v>
      </c>
      <c r="D9" s="8">
        <f>2!D9</f>
        <v>3598.155</v>
      </c>
      <c r="E9" s="271">
        <f>D9</f>
        <v>3598.155</v>
      </c>
      <c r="F9" s="271"/>
      <c r="G9" s="277">
        <f>F9+E9</f>
        <v>3598.155</v>
      </c>
    </row>
    <row r="10" spans="1:7" ht="18.75" customHeight="1">
      <c r="A10" s="175">
        <v>5</v>
      </c>
      <c r="B10" s="244" t="s">
        <v>9</v>
      </c>
      <c r="C10" s="28" t="s">
        <v>27</v>
      </c>
      <c r="D10" s="9">
        <f>2!D10</f>
        <v>3778.13425</v>
      </c>
      <c r="E10" s="271">
        <f>D10</f>
        <v>3778.13425</v>
      </c>
      <c r="F10" s="271"/>
      <c r="G10" s="277">
        <f>F10+E10</f>
        <v>3778.13425</v>
      </c>
    </row>
    <row r="11" spans="1:7" ht="18.75" customHeight="1">
      <c r="A11" s="175">
        <v>6</v>
      </c>
      <c r="B11" s="244" t="s">
        <v>10</v>
      </c>
      <c r="C11" s="28" t="s">
        <v>27</v>
      </c>
      <c r="D11" s="8">
        <f>2!D11</f>
        <v>2123.869</v>
      </c>
      <c r="E11" s="271">
        <f>D11</f>
        <v>2123.869</v>
      </c>
      <c r="F11" s="271"/>
      <c r="G11" s="277">
        <f>F11+E11</f>
        <v>2123.869</v>
      </c>
    </row>
    <row r="12" spans="1:7" ht="18.75" customHeight="1">
      <c r="A12" s="58" t="s">
        <v>12</v>
      </c>
      <c r="B12" s="375" t="s">
        <v>28</v>
      </c>
      <c r="C12" s="375"/>
      <c r="D12" s="375"/>
      <c r="E12" s="271"/>
      <c r="F12" s="271"/>
      <c r="G12" s="277">
        <f>F12+E12</f>
        <v>0</v>
      </c>
    </row>
    <row r="13" spans="1:7" ht="18.75" customHeight="1">
      <c r="A13" s="248">
        <v>1</v>
      </c>
      <c r="B13" s="245" t="s">
        <v>5</v>
      </c>
      <c r="C13" s="28" t="s">
        <v>27</v>
      </c>
      <c r="D13" s="42">
        <f>2!D14</f>
        <v>2500</v>
      </c>
      <c r="E13" s="271">
        <f>D13</f>
        <v>2500</v>
      </c>
      <c r="F13" s="271"/>
      <c r="G13" s="277">
        <f>F13+E13</f>
        <v>2500</v>
      </c>
    </row>
    <row r="14" spans="1:7" ht="18.75" customHeight="1">
      <c r="A14" s="248">
        <v>2</v>
      </c>
      <c r="B14" s="245" t="s">
        <v>6</v>
      </c>
      <c r="C14" s="28" t="s">
        <v>27</v>
      </c>
      <c r="D14" s="42">
        <f>2!D15</f>
        <v>6348.716154000001</v>
      </c>
      <c r="E14" s="271">
        <f>D14</f>
        <v>6348.716154000001</v>
      </c>
      <c r="F14" s="271"/>
      <c r="G14" s="277">
        <f>F14+E14</f>
        <v>6348.716154000001</v>
      </c>
    </row>
    <row r="15" spans="1:7" ht="18.75" customHeight="1">
      <c r="A15" s="248">
        <v>3</v>
      </c>
      <c r="B15" s="245" t="s">
        <v>7</v>
      </c>
      <c r="C15" s="28" t="s">
        <v>27</v>
      </c>
      <c r="D15" s="42">
        <f>2!D16</f>
        <v>8606.420900000001</v>
      </c>
      <c r="E15" s="271">
        <f>D15</f>
        <v>8606.420900000001</v>
      </c>
      <c r="F15" s="271"/>
      <c r="G15" s="277">
        <f>F15+E15</f>
        <v>8606.420900000001</v>
      </c>
    </row>
    <row r="16" spans="1:7" ht="18.75" customHeight="1">
      <c r="A16" s="248">
        <v>4</v>
      </c>
      <c r="B16" s="245" t="s">
        <v>19</v>
      </c>
      <c r="C16" s="28" t="s">
        <v>27</v>
      </c>
      <c r="D16" s="42">
        <f>2!D17</f>
        <v>4592.4348822</v>
      </c>
      <c r="E16" s="271">
        <f>D16</f>
        <v>4592.4348822</v>
      </c>
      <c r="F16" s="271"/>
      <c r="G16" s="277">
        <f>F16+E16</f>
        <v>4592.4348822</v>
      </c>
    </row>
    <row r="17" spans="1:7" ht="18.75" customHeight="1">
      <c r="A17" s="248">
        <v>5</v>
      </c>
      <c r="B17" s="245" t="s">
        <v>9</v>
      </c>
      <c r="C17" s="28" t="s">
        <v>27</v>
      </c>
      <c r="D17" s="9">
        <f>2!D18</f>
        <v>8314.75975</v>
      </c>
      <c r="E17" s="271">
        <f>D17</f>
        <v>8314.75975</v>
      </c>
      <c r="F17" s="271"/>
      <c r="G17" s="277">
        <f>F17+E17</f>
        <v>8314.75975</v>
      </c>
    </row>
    <row r="18" spans="1:7" ht="18.75" customHeight="1">
      <c r="A18" s="248">
        <v>6</v>
      </c>
      <c r="B18" s="245" t="s">
        <v>20</v>
      </c>
      <c r="C18" s="28" t="s">
        <v>27</v>
      </c>
      <c r="D18" s="9">
        <f>2!D19</f>
        <v>6024.777</v>
      </c>
      <c r="E18" s="271">
        <f>D18</f>
        <v>6024.777</v>
      </c>
      <c r="F18" s="271"/>
      <c r="G18" s="277">
        <f>F18+E18</f>
        <v>6024.777</v>
      </c>
    </row>
    <row r="19" spans="1:7" ht="44.25" customHeight="1">
      <c r="A19" s="58" t="s">
        <v>16</v>
      </c>
      <c r="B19" s="375" t="s">
        <v>29</v>
      </c>
      <c r="C19" s="375"/>
      <c r="D19" s="375"/>
      <c r="E19" s="271"/>
      <c r="F19" s="271"/>
      <c r="G19" s="277">
        <f>F19+E19</f>
        <v>0</v>
      </c>
    </row>
    <row r="20" spans="1:7" ht="18.75" customHeight="1">
      <c r="A20" s="175">
        <v>1</v>
      </c>
      <c r="B20" s="244" t="s">
        <v>5</v>
      </c>
      <c r="C20" s="28" t="s">
        <v>27</v>
      </c>
      <c r="D20" s="42">
        <f>2!D22</f>
        <v>2500</v>
      </c>
      <c r="E20" s="271"/>
      <c r="F20" s="271">
        <f>D20</f>
        <v>2500</v>
      </c>
      <c r="G20" s="277">
        <f>F20+E20</f>
        <v>2500</v>
      </c>
    </row>
    <row r="21" spans="1:7" ht="18.75" customHeight="1">
      <c r="A21" s="175">
        <v>2</v>
      </c>
      <c r="B21" s="244" t="s">
        <v>6</v>
      </c>
      <c r="C21" s="28" t="s">
        <v>27</v>
      </c>
      <c r="D21" s="42">
        <f>2!D23</f>
        <v>11633.592189999998</v>
      </c>
      <c r="E21" s="271"/>
      <c r="F21" s="271">
        <f>D21</f>
        <v>11633.592189999998</v>
      </c>
      <c r="G21" s="277">
        <f>F21+E21</f>
        <v>11633.592189999998</v>
      </c>
    </row>
    <row r="22" spans="1:7" ht="18.75" customHeight="1">
      <c r="A22" s="175">
        <v>3</v>
      </c>
      <c r="B22" s="244" t="s">
        <v>7</v>
      </c>
      <c r="C22" s="28" t="s">
        <v>27</v>
      </c>
      <c r="D22" s="42">
        <f>2!D24</f>
        <v>3378.155</v>
      </c>
      <c r="E22" s="271"/>
      <c r="F22" s="271">
        <f>D22</f>
        <v>3378.155</v>
      </c>
      <c r="G22" s="277">
        <f>F22+E22</f>
        <v>3378.155</v>
      </c>
    </row>
    <row r="23" spans="1:7" ht="18.75" customHeight="1">
      <c r="A23" s="175">
        <v>4</v>
      </c>
      <c r="B23" s="244" t="s">
        <v>8</v>
      </c>
      <c r="C23" s="28" t="s">
        <v>27</v>
      </c>
      <c r="D23" s="42">
        <f>2!D25</f>
        <v>2337.4148600000003</v>
      </c>
      <c r="E23" s="271"/>
      <c r="F23" s="271">
        <f>D23</f>
        <v>2337.4148600000003</v>
      </c>
      <c r="G23" s="277">
        <f>F23+E23</f>
        <v>2337.4148600000003</v>
      </c>
    </row>
    <row r="24" spans="1:7" ht="18.75" customHeight="1">
      <c r="A24" s="175">
        <v>5</v>
      </c>
      <c r="B24" s="244" t="s">
        <v>9</v>
      </c>
      <c r="C24" s="28" t="s">
        <v>27</v>
      </c>
      <c r="D24" s="9">
        <f>2!D26</f>
        <v>2825.4325</v>
      </c>
      <c r="E24" s="271"/>
      <c r="F24" s="271">
        <f>D24</f>
        <v>2825.4325</v>
      </c>
      <c r="G24" s="277">
        <f>F24+E24</f>
        <v>2825.4325</v>
      </c>
    </row>
    <row r="25" spans="1:7" ht="18.75" customHeight="1">
      <c r="A25" s="175">
        <v>6</v>
      </c>
      <c r="B25" s="244" t="s">
        <v>10</v>
      </c>
      <c r="C25" s="28" t="s">
        <v>27</v>
      </c>
      <c r="D25" s="9">
        <f>2!D27</f>
        <v>2220.427</v>
      </c>
      <c r="E25" s="271"/>
      <c r="F25" s="271">
        <f>D25</f>
        <v>2220.427</v>
      </c>
      <c r="G25" s="277">
        <f>F25+E25</f>
        <v>2220.427</v>
      </c>
    </row>
    <row r="26" spans="1:7" ht="43.5" customHeight="1">
      <c r="A26" s="58" t="s">
        <v>30</v>
      </c>
      <c r="B26" s="375" t="s">
        <v>31</v>
      </c>
      <c r="C26" s="375"/>
      <c r="D26" s="375"/>
      <c r="E26" s="271"/>
      <c r="F26" s="271"/>
      <c r="G26" s="277">
        <f>F26+E26</f>
        <v>0</v>
      </c>
    </row>
    <row r="27" spans="1:7" ht="18.75" customHeight="1">
      <c r="A27" s="175">
        <v>1</v>
      </c>
      <c r="B27" s="244" t="s">
        <v>5</v>
      </c>
      <c r="C27" s="28" t="s">
        <v>27</v>
      </c>
      <c r="D27" s="42">
        <f>2!D30</f>
        <v>1000</v>
      </c>
      <c r="E27" s="271"/>
      <c r="F27" s="271">
        <f>D27</f>
        <v>1000</v>
      </c>
      <c r="G27" s="277">
        <f>F27+E27</f>
        <v>1000</v>
      </c>
    </row>
    <row r="28" spans="1:7" ht="18.75" customHeight="1">
      <c r="A28" s="175">
        <v>2</v>
      </c>
      <c r="B28" s="244" t="s">
        <v>6</v>
      </c>
      <c r="C28" s="28" t="s">
        <v>27</v>
      </c>
      <c r="D28" s="42">
        <f>2!D31</f>
        <v>11493.513922000002</v>
      </c>
      <c r="E28" s="271"/>
      <c r="F28" s="271">
        <f>D28</f>
        <v>11493.513922000002</v>
      </c>
      <c r="G28" s="277">
        <f>F28+E28</f>
        <v>11493.513922000002</v>
      </c>
    </row>
    <row r="29" spans="1:7" ht="18.75" customHeight="1">
      <c r="A29" s="175">
        <v>3</v>
      </c>
      <c r="B29" s="244" t="s">
        <v>7</v>
      </c>
      <c r="C29" s="28" t="s">
        <v>27</v>
      </c>
      <c r="D29" s="42">
        <f>2!D32</f>
        <v>3647.325</v>
      </c>
      <c r="E29" s="271"/>
      <c r="F29" s="271">
        <f>D29</f>
        <v>3647.325</v>
      </c>
      <c r="G29" s="277">
        <f>F29+E29</f>
        <v>3647.325</v>
      </c>
    </row>
    <row r="30" spans="1:7" ht="18.75" customHeight="1">
      <c r="A30" s="175">
        <v>4</v>
      </c>
      <c r="B30" s="244" t="s">
        <v>8</v>
      </c>
      <c r="C30" s="28" t="s">
        <v>27</v>
      </c>
      <c r="D30" s="42">
        <f>2!D33</f>
        <v>3602.2297762</v>
      </c>
      <c r="E30" s="271"/>
      <c r="F30" s="271">
        <f>D30</f>
        <v>3602.2297762</v>
      </c>
      <c r="G30" s="277">
        <f>F30+E30</f>
        <v>3602.2297762</v>
      </c>
    </row>
    <row r="31" spans="1:7" ht="18.75" customHeight="1">
      <c r="A31" s="175">
        <v>5</v>
      </c>
      <c r="B31" s="244" t="s">
        <v>9</v>
      </c>
      <c r="C31" s="28" t="s">
        <v>27</v>
      </c>
      <c r="D31" s="9">
        <f>2!D34</f>
        <v>5745.5585</v>
      </c>
      <c r="E31" s="271"/>
      <c r="F31" s="271">
        <f>D31</f>
        <v>5745.5585</v>
      </c>
      <c r="G31" s="277">
        <f>F31+E31</f>
        <v>5745.5585</v>
      </c>
    </row>
    <row r="32" spans="1:7" ht="18.75" customHeight="1">
      <c r="A32" s="175">
        <v>6</v>
      </c>
      <c r="B32" s="244" t="s">
        <v>10</v>
      </c>
      <c r="C32" s="28" t="s">
        <v>27</v>
      </c>
      <c r="D32" s="9">
        <f>2!D35</f>
        <v>2387.748</v>
      </c>
      <c r="E32" s="271"/>
      <c r="F32" s="271">
        <f>D32</f>
        <v>2387.748</v>
      </c>
      <c r="G32" s="277">
        <f>F32+E32</f>
        <v>2387.748</v>
      </c>
    </row>
    <row r="33" spans="1:7" ht="18.75" customHeight="1">
      <c r="A33" s="58" t="s">
        <v>33</v>
      </c>
      <c r="B33" s="246" t="s">
        <v>34</v>
      </c>
      <c r="C33" s="27"/>
      <c r="D33" s="59"/>
      <c r="E33" s="271"/>
      <c r="F33" s="271"/>
      <c r="G33" s="277">
        <f>F33+E33</f>
        <v>0</v>
      </c>
    </row>
    <row r="34" spans="1:7" ht="18.75" customHeight="1">
      <c r="A34" s="248" t="s">
        <v>3</v>
      </c>
      <c r="B34" s="245" t="s">
        <v>35</v>
      </c>
      <c r="C34" s="28" t="s">
        <v>27</v>
      </c>
      <c r="D34" s="43">
        <f>'PAC MA'!H13</f>
        <v>16653.64</v>
      </c>
      <c r="E34" s="271">
        <f>D34</f>
        <v>16653.64</v>
      </c>
      <c r="F34" s="271"/>
      <c r="G34" s="277">
        <f>F34+E34</f>
        <v>16653.64</v>
      </c>
    </row>
    <row r="35" spans="1:7" ht="18.75" customHeight="1">
      <c r="A35" s="248" t="s">
        <v>12</v>
      </c>
      <c r="B35" s="245" t="s">
        <v>36</v>
      </c>
      <c r="C35" s="28" t="s">
        <v>27</v>
      </c>
      <c r="D35" s="43">
        <f>'KHUAT XA'!H13</f>
        <v>36596.2</v>
      </c>
      <c r="E35" s="271">
        <f>D35</f>
        <v>36596.2</v>
      </c>
      <c r="F35" s="271"/>
      <c r="G35" s="277">
        <f>F35+E35</f>
        <v>36596.2</v>
      </c>
    </row>
    <row r="36" spans="1:7" ht="18.75" customHeight="1">
      <c r="A36" s="248" t="s">
        <v>16</v>
      </c>
      <c r="B36" s="245" t="s">
        <v>37</v>
      </c>
      <c r="C36" s="28" t="s">
        <v>27</v>
      </c>
      <c r="D36" s="43">
        <f>'PO HANG'!H13</f>
        <v>24685.96</v>
      </c>
      <c r="E36" s="271"/>
      <c r="F36" s="271">
        <f>D36</f>
        <v>24685.96</v>
      </c>
      <c r="G36" s="277">
        <f>F36+E36</f>
        <v>24685.96</v>
      </c>
    </row>
    <row r="37" spans="1:7" ht="18.75" customHeight="1">
      <c r="A37" s="248" t="s">
        <v>30</v>
      </c>
      <c r="B37" s="245" t="s">
        <v>38</v>
      </c>
      <c r="C37" s="28" t="s">
        <v>27</v>
      </c>
      <c r="D37" s="43">
        <f>'NA LONG'!H13</f>
        <v>29156.460000000003</v>
      </c>
      <c r="E37" s="271"/>
      <c r="F37" s="271">
        <f>D37</f>
        <v>29156.460000000003</v>
      </c>
      <c r="G37" s="277">
        <f>F37+E37</f>
        <v>29156.460000000003</v>
      </c>
    </row>
    <row r="38" spans="1:7" ht="18.75" customHeight="1">
      <c r="A38" s="58" t="s">
        <v>39</v>
      </c>
      <c r="B38" s="246" t="s">
        <v>40</v>
      </c>
      <c r="C38" s="28"/>
      <c r="D38" s="59"/>
      <c r="E38" s="271"/>
      <c r="F38" s="271"/>
      <c r="G38" s="277">
        <f>F38+E38</f>
        <v>0</v>
      </c>
    </row>
    <row r="39" spans="1:7" ht="18.75" customHeight="1">
      <c r="A39" s="248" t="s">
        <v>3</v>
      </c>
      <c r="B39" s="245" t="s">
        <v>35</v>
      </c>
      <c r="C39" s="28" t="s">
        <v>27</v>
      </c>
      <c r="D39" s="43" t="e">
        <f>'PAC MA'!H14</f>
        <v>#REF!</v>
      </c>
      <c r="E39" s="271" t="e">
        <f>D39</f>
        <v>#REF!</v>
      </c>
      <c r="F39" s="271"/>
      <c r="G39" s="277" t="e">
        <f>F39+E39</f>
        <v>#REF!</v>
      </c>
    </row>
    <row r="40" spans="1:7" ht="18.75" customHeight="1">
      <c r="A40" s="248" t="s">
        <v>12</v>
      </c>
      <c r="B40" s="245" t="s">
        <v>36</v>
      </c>
      <c r="C40" s="28" t="s">
        <v>27</v>
      </c>
      <c r="D40" s="43" t="e">
        <f>'KHUAT XA'!H14</f>
        <v>#REF!</v>
      </c>
      <c r="E40" s="271" t="e">
        <f>D40</f>
        <v>#REF!</v>
      </c>
      <c r="F40" s="271"/>
      <c r="G40" s="277" t="e">
        <f>F40+E40</f>
        <v>#REF!</v>
      </c>
    </row>
    <row r="41" spans="1:7" ht="18.75" customHeight="1">
      <c r="A41" s="248" t="s">
        <v>16</v>
      </c>
      <c r="B41" s="245" t="s">
        <v>37</v>
      </c>
      <c r="C41" s="28" t="s">
        <v>27</v>
      </c>
      <c r="D41" s="43" t="e">
        <f>'PO HANG'!H14</f>
        <v>#REF!</v>
      </c>
      <c r="E41" s="271"/>
      <c r="F41" s="271" t="e">
        <f>D41</f>
        <v>#REF!</v>
      </c>
      <c r="G41" s="277" t="e">
        <f>F41+E41</f>
        <v>#REF!</v>
      </c>
    </row>
    <row r="42" spans="1:7" ht="18.75" customHeight="1">
      <c r="A42" s="248" t="s">
        <v>30</v>
      </c>
      <c r="B42" s="245" t="s">
        <v>38</v>
      </c>
      <c r="C42" s="28" t="s">
        <v>27</v>
      </c>
      <c r="D42" s="43" t="e">
        <f>'NA LONG'!H14</f>
        <v>#REF!</v>
      </c>
      <c r="E42" s="271"/>
      <c r="F42" s="271" t="e">
        <f>D42</f>
        <v>#REF!</v>
      </c>
      <c r="G42" s="277" t="e">
        <f>F42+E42</f>
        <v>#REF!</v>
      </c>
    </row>
    <row r="43" spans="1:7" ht="18.75" customHeight="1" thickBot="1">
      <c r="A43" s="58" t="s">
        <v>41</v>
      </c>
      <c r="B43" s="268" t="s">
        <v>232</v>
      </c>
      <c r="C43" s="28" t="s">
        <v>27</v>
      </c>
      <c r="D43" s="43"/>
      <c r="E43" s="271">
        <f>(E34+E35)*2/100</f>
        <v>1064.9968</v>
      </c>
      <c r="F43" s="271">
        <f>(F36+F37)*2/100</f>
        <v>1076.8483999999999</v>
      </c>
      <c r="G43" s="277">
        <f>F43+E43</f>
        <v>2141.8451999999997</v>
      </c>
    </row>
    <row r="44" spans="1:7" ht="18.75" customHeight="1" thickBot="1">
      <c r="A44" s="58" t="s">
        <v>42</v>
      </c>
      <c r="B44" s="268" t="s">
        <v>233</v>
      </c>
      <c r="C44" s="28" t="s">
        <v>27</v>
      </c>
      <c r="D44" s="43"/>
      <c r="E44" s="271" t="e">
        <f>(E40+E39+E35+E34+E18+E17+E16+E15+E14+E13+E11+E10+E9+E8+E7+E6)*5/100</f>
        <v>#REF!</v>
      </c>
      <c r="F44" s="271" t="e">
        <f>(F42+F41+F37+F36+F32+F31+F30+F29+F28+F27+F25+F24+F23+F22+F21+F20)*5/100</f>
        <v>#REF!</v>
      </c>
      <c r="G44" s="277" t="e">
        <f>F44+E44</f>
        <v>#REF!</v>
      </c>
    </row>
    <row r="45" spans="1:7" ht="18.75" customHeight="1" thickBot="1">
      <c r="A45" s="58" t="s">
        <v>111</v>
      </c>
      <c r="B45" s="268" t="s">
        <v>234</v>
      </c>
      <c r="C45" s="28" t="s">
        <v>27</v>
      </c>
      <c r="D45" s="43"/>
      <c r="E45" s="271" t="e">
        <f>(E44+E43+E40+E39+E35+E34+E18+E17+E16+E15+E14+E13+E11+E10+E9+E8+E7+E6)*5/100</f>
        <v>#REF!</v>
      </c>
      <c r="F45" s="271" t="e">
        <f>(F44+F43+F42+F41+F37+F36+F32+F31+F30+F29+F28+F27+F25+F24+F23+F22+F21+F20)*5/100</f>
        <v>#REF!</v>
      </c>
      <c r="G45" s="277" t="e">
        <f>F45+E45</f>
        <v>#REF!</v>
      </c>
    </row>
    <row r="46" spans="1:7" s="276" customFormat="1" ht="14.25">
      <c r="A46" s="273"/>
      <c r="B46" s="274" t="s">
        <v>11</v>
      </c>
      <c r="C46" s="273"/>
      <c r="D46" s="275"/>
      <c r="E46" s="275" t="e">
        <f>SUM(E4:E45)</f>
        <v>#REF!</v>
      </c>
      <c r="F46" s="275" t="e">
        <f>SUM(F4:F45)</f>
        <v>#REF!</v>
      </c>
      <c r="G46" s="277" t="e">
        <f>F46+E46</f>
        <v>#REF!</v>
      </c>
    </row>
    <row r="48" spans="6:7" ht="15">
      <c r="F48" s="71" t="e">
        <f>F46+E46</f>
        <v>#REF!</v>
      </c>
      <c r="G48" s="29"/>
    </row>
  </sheetData>
  <sheetProtection/>
  <mergeCells count="10">
    <mergeCell ref="B19:D19"/>
    <mergeCell ref="B26:D26"/>
    <mergeCell ref="E1:E3"/>
    <mergeCell ref="F1:F3"/>
    <mergeCell ref="B5:D5"/>
    <mergeCell ref="B12:D12"/>
    <mergeCell ref="A1:A3"/>
    <mergeCell ref="B1:B3"/>
    <mergeCell ref="C1:C3"/>
    <mergeCell ref="D1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C19" sqref="C19"/>
    </sheetView>
  </sheetViews>
  <sheetFormatPr defaultColWidth="9.140625" defaultRowHeight="15"/>
  <cols>
    <col min="1" max="1" width="8.421875" style="0" customWidth="1"/>
    <col min="2" max="2" width="56.28125" style="0" customWidth="1"/>
    <col min="3" max="3" width="27.00390625" style="0" customWidth="1"/>
    <col min="4" max="4" width="20.28125" style="0" customWidth="1"/>
    <col min="5" max="5" width="17.421875" style="0" customWidth="1"/>
    <col min="6" max="6" width="16.421875" style="0" customWidth="1"/>
    <col min="7" max="7" width="16.28125" style="0" customWidth="1"/>
    <col min="8" max="8" width="16.00390625" style="0" customWidth="1"/>
    <col min="9" max="9" width="15.7109375" style="0" customWidth="1"/>
    <col min="10" max="10" width="15.8515625" style="0" customWidth="1"/>
    <col min="11" max="11" width="16.28125" style="0" customWidth="1"/>
  </cols>
  <sheetData>
    <row r="1" spans="1:2" ht="15">
      <c r="A1" s="378"/>
      <c r="B1" s="378"/>
    </row>
    <row r="2" spans="1:4" ht="16.5">
      <c r="A2" s="377" t="s">
        <v>264</v>
      </c>
      <c r="B2" s="377"/>
      <c r="C2" s="377"/>
      <c r="D2" s="377"/>
    </row>
    <row r="4" spans="1:11" ht="22.5" customHeight="1">
      <c r="A4" s="307" t="s">
        <v>112</v>
      </c>
      <c r="B4" s="307" t="s">
        <v>46</v>
      </c>
      <c r="C4" s="307" t="s">
        <v>270</v>
      </c>
      <c r="D4" s="307" t="s">
        <v>280</v>
      </c>
      <c r="E4" s="301"/>
      <c r="F4" s="301"/>
      <c r="G4" s="301"/>
      <c r="H4" s="301"/>
      <c r="I4" s="301"/>
      <c r="J4" s="301"/>
      <c r="K4" s="301"/>
    </row>
    <row r="5" spans="1:11" ht="26.25" customHeight="1">
      <c r="A5" s="308" t="s">
        <v>3</v>
      </c>
      <c r="B5" s="309" t="s">
        <v>279</v>
      </c>
      <c r="C5" s="296">
        <f>'NOI DI'!M60+'NOI DEN'!M13</f>
        <v>672729022300</v>
      </c>
      <c r="D5" s="310"/>
      <c r="E5" s="302"/>
      <c r="F5" s="302"/>
      <c r="G5" s="302"/>
      <c r="H5" s="302"/>
      <c r="I5" s="302"/>
      <c r="J5" s="302"/>
      <c r="K5" s="302"/>
    </row>
    <row r="6" spans="1:11" ht="19.5" customHeight="1">
      <c r="A6" s="310"/>
      <c r="B6" s="311" t="s">
        <v>271</v>
      </c>
      <c r="C6" s="296"/>
      <c r="D6" s="310"/>
      <c r="E6" s="302"/>
      <c r="F6" s="302"/>
      <c r="G6" s="302"/>
      <c r="H6" s="302"/>
      <c r="I6" s="302"/>
      <c r="J6" s="302"/>
      <c r="K6" s="302"/>
    </row>
    <row r="7" spans="1:11" ht="21.75" customHeight="1">
      <c r="A7" s="308">
        <v>1</v>
      </c>
      <c r="B7" s="310" t="s">
        <v>281</v>
      </c>
      <c r="C7" s="295">
        <f>'NOI DI'!M93+'NOI DEN'!M13</f>
        <v>553494131100</v>
      </c>
      <c r="D7" s="312">
        <f>C7/C5*100</f>
        <v>82.27594064659993</v>
      </c>
      <c r="E7" s="302"/>
      <c r="F7" s="302"/>
      <c r="G7" s="302"/>
      <c r="H7" s="302"/>
      <c r="I7" s="302"/>
      <c r="J7" s="302"/>
      <c r="K7" s="302"/>
    </row>
    <row r="8" spans="1:11" ht="24.75" customHeight="1">
      <c r="A8" s="308">
        <v>2</v>
      </c>
      <c r="B8" s="310" t="s">
        <v>282</v>
      </c>
      <c r="C8" s="295">
        <f>'NOI DI'!M126</f>
        <v>119234891200</v>
      </c>
      <c r="D8" s="312">
        <f>C8/C5*100</f>
        <v>17.724059353400072</v>
      </c>
      <c r="E8" s="302"/>
      <c r="F8" s="302"/>
      <c r="G8" s="302"/>
      <c r="H8" s="302"/>
      <c r="I8" s="302"/>
      <c r="J8" s="302"/>
      <c r="K8" s="302"/>
    </row>
    <row r="9" spans="1:11" ht="24.75" customHeight="1">
      <c r="A9" s="308"/>
      <c r="B9" s="311" t="s">
        <v>283</v>
      </c>
      <c r="C9" s="295"/>
      <c r="D9" s="312"/>
      <c r="E9" s="302"/>
      <c r="F9" s="302"/>
      <c r="G9" s="302"/>
      <c r="H9" s="302"/>
      <c r="I9" s="302"/>
      <c r="J9" s="302"/>
      <c r="K9" s="302"/>
    </row>
    <row r="10" spans="1:11" ht="22.5" customHeight="1">
      <c r="A10" s="308" t="s">
        <v>284</v>
      </c>
      <c r="B10" s="310" t="s">
        <v>286</v>
      </c>
      <c r="C10" s="295">
        <f>'NOI DI'!M150</f>
        <v>93626991200</v>
      </c>
      <c r="D10" s="312">
        <f>C10/C5*100</f>
        <v>13.917489523478228</v>
      </c>
      <c r="E10" s="303"/>
      <c r="F10" s="303"/>
      <c r="G10" s="303"/>
      <c r="H10" s="303"/>
      <c r="I10" s="303"/>
      <c r="J10" s="303"/>
      <c r="K10" s="303"/>
    </row>
    <row r="11" spans="1:11" ht="26.25" customHeight="1">
      <c r="A11" s="308" t="s">
        <v>285</v>
      </c>
      <c r="B11" s="310" t="s">
        <v>287</v>
      </c>
      <c r="C11" s="295">
        <f>'NOI DI'!M169</f>
        <v>25607900000</v>
      </c>
      <c r="D11" s="312">
        <f>C11/C5*100</f>
        <v>3.806569829921845</v>
      </c>
      <c r="E11" s="303"/>
      <c r="F11" s="303"/>
      <c r="G11" s="303"/>
      <c r="H11" s="302"/>
      <c r="I11" s="302"/>
      <c r="J11" s="302"/>
      <c r="K11" s="302"/>
    </row>
    <row r="12" spans="1:4" ht="15">
      <c r="A12" s="29"/>
      <c r="B12" s="29"/>
      <c r="C12" s="29"/>
      <c r="D12" s="29"/>
    </row>
    <row r="13" spans="1:4" ht="15">
      <c r="A13" s="29"/>
      <c r="B13" s="29"/>
      <c r="C13" s="336"/>
      <c r="D13" s="29"/>
    </row>
    <row r="14" spans="1:4" ht="15">
      <c r="A14" s="317" t="s">
        <v>266</v>
      </c>
      <c r="B14" s="317"/>
      <c r="C14" s="317"/>
      <c r="D14" s="29"/>
    </row>
    <row r="15" spans="1:4" ht="15">
      <c r="A15" s="29"/>
      <c r="B15" s="29"/>
      <c r="C15" s="29"/>
      <c r="D15" s="29"/>
    </row>
    <row r="16" spans="1:6" ht="28.5">
      <c r="A16" s="307" t="s">
        <v>112</v>
      </c>
      <c r="B16" s="307" t="s">
        <v>46</v>
      </c>
      <c r="C16" s="307" t="s">
        <v>265</v>
      </c>
      <c r="D16" s="313"/>
      <c r="E16" s="301"/>
      <c r="F16" s="301"/>
    </row>
    <row r="17" spans="1:6" ht="15">
      <c r="A17" s="310"/>
      <c r="B17" s="310"/>
      <c r="C17" s="310"/>
      <c r="D17" s="314"/>
      <c r="E17" s="302"/>
      <c r="F17" s="302"/>
    </row>
    <row r="18" spans="1:6" ht="27" customHeight="1">
      <c r="A18" s="308">
        <v>1</v>
      </c>
      <c r="B18" s="305" t="s">
        <v>272</v>
      </c>
      <c r="C18" s="315">
        <f>'NOI DI'!M125</f>
        <v>292242380.39215684</v>
      </c>
      <c r="D18" s="316"/>
      <c r="E18" s="304"/>
      <c r="F18" s="304"/>
    </row>
    <row r="19" spans="1:4" ht="17.25" customHeight="1">
      <c r="A19" s="308">
        <v>2</v>
      </c>
      <c r="B19" s="305" t="s">
        <v>273</v>
      </c>
      <c r="C19" s="315">
        <f>'NOI DI'!M149</f>
        <v>229477919.60784313</v>
      </c>
      <c r="D19" s="29"/>
    </row>
    <row r="20" spans="1:4" ht="18" customHeight="1">
      <c r="A20" s="308">
        <v>3</v>
      </c>
      <c r="B20" s="305" t="s">
        <v>274</v>
      </c>
      <c r="C20" s="315">
        <f>'NOI DI'!M168</f>
        <v>62764460.78431372</v>
      </c>
      <c r="D20" s="318"/>
    </row>
  </sheetData>
  <mergeCells count="2">
    <mergeCell ref="A2:D2"/>
    <mergeCell ref="A1:B1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9"/>
  <sheetViews>
    <sheetView zoomScale="85" zoomScaleNormal="85" workbookViewId="0" topLeftCell="A1">
      <selection activeCell="A79" sqref="A79"/>
    </sheetView>
  </sheetViews>
  <sheetFormatPr defaultColWidth="9.140625" defaultRowHeight="15"/>
  <cols>
    <col min="1" max="1" width="3.7109375" style="320" bestFit="1" customWidth="1"/>
    <col min="2" max="2" width="58.7109375" style="320" bestFit="1" customWidth="1"/>
    <col min="3" max="3" width="11.57421875" style="320" customWidth="1"/>
    <col min="4" max="4" width="8.7109375" style="320" bestFit="1" customWidth="1"/>
    <col min="5" max="5" width="9.00390625" style="320" customWidth="1"/>
    <col min="6" max="6" width="15.00390625" style="320" customWidth="1"/>
    <col min="7" max="7" width="9.00390625" style="320" customWidth="1"/>
    <col min="8" max="8" width="16.421875" style="320" customWidth="1"/>
    <col min="9" max="9" width="8.421875" style="320" customWidth="1"/>
    <col min="10" max="10" width="14.7109375" style="320" customWidth="1"/>
    <col min="11" max="11" width="8.7109375" style="320" customWidth="1"/>
    <col min="12" max="13" width="15.7109375" style="320" customWidth="1"/>
    <col min="14" max="16384" width="9.140625" style="320" customWidth="1"/>
  </cols>
  <sheetData>
    <row r="1" spans="1:12" ht="15">
      <c r="A1" s="380" t="s">
        <v>269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</row>
    <row r="2" spans="1:12" ht="15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3" spans="1:13" ht="15">
      <c r="A3" s="382" t="s">
        <v>0</v>
      </c>
      <c r="B3" s="382" t="s">
        <v>46</v>
      </c>
      <c r="C3" s="322"/>
      <c r="D3" s="322"/>
      <c r="E3" s="383" t="s">
        <v>98</v>
      </c>
      <c r="F3" s="383"/>
      <c r="G3" s="383" t="s">
        <v>102</v>
      </c>
      <c r="H3" s="383"/>
      <c r="I3" s="383" t="s">
        <v>103</v>
      </c>
      <c r="J3" s="383"/>
      <c r="K3" s="383" t="s">
        <v>97</v>
      </c>
      <c r="L3" s="383"/>
      <c r="M3" s="379" t="s">
        <v>18</v>
      </c>
    </row>
    <row r="4" spans="1:13" ht="26.25" customHeight="1">
      <c r="A4" s="382"/>
      <c r="B4" s="382"/>
      <c r="C4" s="322" t="s">
        <v>78</v>
      </c>
      <c r="D4" s="322" t="s">
        <v>22</v>
      </c>
      <c r="E4" s="322" t="s">
        <v>77</v>
      </c>
      <c r="F4" s="322" t="s">
        <v>79</v>
      </c>
      <c r="G4" s="322" t="s">
        <v>77</v>
      </c>
      <c r="H4" s="322" t="s">
        <v>79</v>
      </c>
      <c r="I4" s="322" t="s">
        <v>77</v>
      </c>
      <c r="J4" s="322" t="s">
        <v>79</v>
      </c>
      <c r="K4" s="322" t="s">
        <v>77</v>
      </c>
      <c r="L4" s="322" t="s">
        <v>79</v>
      </c>
      <c r="M4" s="379"/>
    </row>
    <row r="5" spans="1:13" ht="16.5">
      <c r="A5" s="321" t="s">
        <v>24</v>
      </c>
      <c r="B5" s="324" t="s">
        <v>105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5"/>
    </row>
    <row r="6" spans="1:13" ht="15.75">
      <c r="A6" s="33" t="s">
        <v>3</v>
      </c>
      <c r="B6" s="36" t="s">
        <v>47</v>
      </c>
      <c r="C6" s="322"/>
      <c r="D6" s="322"/>
      <c r="E6" s="322"/>
      <c r="F6" s="322">
        <f>F7+F8+F9+F10+F11+F12</f>
        <v>52365820000</v>
      </c>
      <c r="G6" s="322"/>
      <c r="H6" s="322">
        <f>H7+H8+H9+H10+H11+H12</f>
        <v>105523023000</v>
      </c>
      <c r="I6" s="322"/>
      <c r="J6" s="322">
        <f>J7+J8+J9+J10+J11+J12</f>
        <v>51932370000</v>
      </c>
      <c r="K6" s="322"/>
      <c r="L6" s="322">
        <f>L7+L8+L9+L10+L11+L12</f>
        <v>31528520000</v>
      </c>
      <c r="M6" s="323">
        <f>SUM(F6:L6)</f>
        <v>241349733000</v>
      </c>
    </row>
    <row r="7" spans="1:13" ht="15.75">
      <c r="A7" s="293">
        <v>1</v>
      </c>
      <c r="B7" s="294" t="s">
        <v>48</v>
      </c>
      <c r="C7" s="326">
        <v>160000</v>
      </c>
      <c r="D7" s="326" t="s">
        <v>91</v>
      </c>
      <c r="E7" s="326">
        <v>37670</v>
      </c>
      <c r="F7" s="326">
        <f>E7*C7</f>
        <v>6027200000</v>
      </c>
      <c r="G7" s="326">
        <v>98163</v>
      </c>
      <c r="H7" s="326">
        <f>G7*C7</f>
        <v>15706080000</v>
      </c>
      <c r="I7" s="326">
        <v>21207</v>
      </c>
      <c r="J7" s="326">
        <f>I7*C7</f>
        <v>3393120000</v>
      </c>
      <c r="K7" s="326">
        <v>17840</v>
      </c>
      <c r="L7" s="326">
        <f>K7*C7</f>
        <v>2854400000</v>
      </c>
      <c r="M7" s="323"/>
    </row>
    <row r="8" spans="1:13" ht="15.75">
      <c r="A8" s="293">
        <v>2</v>
      </c>
      <c r="B8" s="294" t="s">
        <v>49</v>
      </c>
      <c r="C8" s="326">
        <v>38000</v>
      </c>
      <c r="D8" s="326" t="s">
        <v>91</v>
      </c>
      <c r="E8" s="326">
        <v>432140</v>
      </c>
      <c r="F8" s="326">
        <f>E8*C8</f>
        <v>16421320000</v>
      </c>
      <c r="G8" s="326">
        <v>802287</v>
      </c>
      <c r="H8" s="326">
        <f>G8*C8</f>
        <v>30486906000</v>
      </c>
      <c r="I8" s="326">
        <v>370050</v>
      </c>
      <c r="J8" s="326">
        <f>I8*C8</f>
        <v>14061900000</v>
      </c>
      <c r="K8" s="326">
        <v>213980</v>
      </c>
      <c r="L8" s="326">
        <f>K8*C8</f>
        <v>8131240000</v>
      </c>
      <c r="M8" s="323"/>
    </row>
    <row r="9" spans="1:13" ht="15.75">
      <c r="A9" s="293">
        <v>3</v>
      </c>
      <c r="B9" s="294" t="s">
        <v>50</v>
      </c>
      <c r="C9" s="326">
        <v>37000</v>
      </c>
      <c r="D9" s="326" t="s">
        <v>91</v>
      </c>
      <c r="E9" s="326">
        <v>582900</v>
      </c>
      <c r="F9" s="326">
        <f>E9*C9</f>
        <v>21567300000</v>
      </c>
      <c r="G9" s="326">
        <v>404430</v>
      </c>
      <c r="H9" s="326">
        <f>G9*C9</f>
        <v>14963910000</v>
      </c>
      <c r="I9" s="326">
        <v>123000</v>
      </c>
      <c r="J9" s="326">
        <f>I9*C9</f>
        <v>4551000000</v>
      </c>
      <c r="K9" s="326">
        <v>82240</v>
      </c>
      <c r="L9" s="326">
        <f>K9*C9</f>
        <v>3042880000</v>
      </c>
      <c r="M9" s="323"/>
    </row>
    <row r="10" spans="1:13" ht="15.75">
      <c r="A10" s="293">
        <v>4</v>
      </c>
      <c r="B10" s="294" t="s">
        <v>51</v>
      </c>
      <c r="C10" s="326">
        <v>29000</v>
      </c>
      <c r="D10" s="326" t="s">
        <v>91</v>
      </c>
      <c r="E10" s="326"/>
      <c r="F10" s="326"/>
      <c r="G10" s="326">
        <v>4423</v>
      </c>
      <c r="H10" s="326">
        <f>G10*C10</f>
        <v>128267000</v>
      </c>
      <c r="I10" s="326"/>
      <c r="J10" s="326"/>
      <c r="K10" s="326"/>
      <c r="L10" s="326"/>
      <c r="M10" s="323"/>
    </row>
    <row r="11" spans="1:13" ht="15.75">
      <c r="A11" s="293">
        <v>5</v>
      </c>
      <c r="B11" s="294" t="s">
        <v>52</v>
      </c>
      <c r="C11" s="326">
        <v>5000</v>
      </c>
      <c r="D11" s="326" t="s">
        <v>91</v>
      </c>
      <c r="E11" s="326">
        <v>1670000</v>
      </c>
      <c r="F11" s="326">
        <f>E11*C11</f>
        <v>8350000000</v>
      </c>
      <c r="G11" s="326">
        <v>8810000</v>
      </c>
      <c r="H11" s="326">
        <f>G11*C11</f>
        <v>44050000000</v>
      </c>
      <c r="I11" s="326">
        <v>5980000</v>
      </c>
      <c r="J11" s="326">
        <f>I11*C11</f>
        <v>29900000000</v>
      </c>
      <c r="K11" s="326">
        <v>3500000</v>
      </c>
      <c r="L11" s="326">
        <f>K11*C11</f>
        <v>17500000000</v>
      </c>
      <c r="M11" s="323"/>
    </row>
    <row r="12" spans="1:13" ht="15.75">
      <c r="A12" s="293">
        <v>6</v>
      </c>
      <c r="B12" s="294" t="s">
        <v>53</v>
      </c>
      <c r="C12" s="326">
        <v>31000</v>
      </c>
      <c r="D12" s="326" t="s">
        <v>91</v>
      </c>
      <c r="E12" s="326"/>
      <c r="F12" s="326"/>
      <c r="G12" s="326">
        <v>6060</v>
      </c>
      <c r="H12" s="326">
        <f>G12*C12</f>
        <v>187860000</v>
      </c>
      <c r="I12" s="326">
        <v>850</v>
      </c>
      <c r="J12" s="326">
        <f>I12*C12</f>
        <v>26350000</v>
      </c>
      <c r="K12" s="326"/>
      <c r="L12" s="326"/>
      <c r="M12" s="323"/>
    </row>
    <row r="13" spans="1:13" ht="15.75">
      <c r="A13" s="33" t="s">
        <v>12</v>
      </c>
      <c r="B13" s="36" t="s">
        <v>54</v>
      </c>
      <c r="C13" s="322"/>
      <c r="D13" s="322"/>
      <c r="E13" s="322"/>
      <c r="F13" s="322">
        <f>F14+F15+F16+F17+F18+F19+F20+F21+F22</f>
        <v>19874474900</v>
      </c>
      <c r="G13" s="322"/>
      <c r="H13" s="322">
        <f>H14+H15+H16+H17+H18+H19+H20+H21+H22</f>
        <v>53007243400</v>
      </c>
      <c r="I13" s="322"/>
      <c r="J13" s="322">
        <f>J14+J15+J16+J17+J18+J19+J20+J21+J22</f>
        <v>16757690300</v>
      </c>
      <c r="K13" s="322"/>
      <c r="L13" s="322">
        <f>L14+L15+L16+L17+L18+L19+L20+L21+L22</f>
        <v>17231540500</v>
      </c>
      <c r="M13" s="323">
        <f>SUM(F13:L13)</f>
        <v>106870949100</v>
      </c>
    </row>
    <row r="14" spans="1:13" ht="15.75">
      <c r="A14" s="293">
        <v>1</v>
      </c>
      <c r="B14" s="294" t="s">
        <v>262</v>
      </c>
      <c r="C14" s="326">
        <v>2823000</v>
      </c>
      <c r="D14" s="326" t="s">
        <v>91</v>
      </c>
      <c r="E14" s="326"/>
      <c r="F14" s="326"/>
      <c r="G14" s="326">
        <v>60</v>
      </c>
      <c r="H14" s="326">
        <f>G14*C14</f>
        <v>169380000</v>
      </c>
      <c r="I14" s="326"/>
      <c r="J14" s="326"/>
      <c r="K14" s="326"/>
      <c r="L14" s="326"/>
      <c r="M14" s="323"/>
    </row>
    <row r="15" spans="1:13" ht="15.75">
      <c r="A15" s="293">
        <v>2</v>
      </c>
      <c r="B15" s="294" t="s">
        <v>55</v>
      </c>
      <c r="C15" s="326">
        <v>2736000</v>
      </c>
      <c r="D15" s="326" t="s">
        <v>91</v>
      </c>
      <c r="E15" s="326">
        <v>1068</v>
      </c>
      <c r="F15" s="326">
        <f>E15*C15</f>
        <v>2922048000</v>
      </c>
      <c r="G15" s="326">
        <v>4440</v>
      </c>
      <c r="H15" s="326">
        <f>G15*C15</f>
        <v>12147840000</v>
      </c>
      <c r="I15" s="326">
        <v>2340</v>
      </c>
      <c r="J15" s="326">
        <f>I15*C15</f>
        <v>6402240000</v>
      </c>
      <c r="K15" s="326">
        <v>2145</v>
      </c>
      <c r="L15" s="326">
        <f>K15*C15</f>
        <v>5868720000</v>
      </c>
      <c r="M15" s="323"/>
    </row>
    <row r="16" spans="1:13" ht="15.75">
      <c r="A16" s="293">
        <v>3</v>
      </c>
      <c r="B16" s="294" t="s">
        <v>106</v>
      </c>
      <c r="C16" s="326">
        <v>2100000</v>
      </c>
      <c r="D16" s="326" t="s">
        <v>91</v>
      </c>
      <c r="E16" s="326">
        <v>5614</v>
      </c>
      <c r="F16" s="326">
        <f>E16*C16</f>
        <v>11789400000</v>
      </c>
      <c r="G16" s="326">
        <v>12503</v>
      </c>
      <c r="H16" s="326">
        <f>G16*C16</f>
        <v>26256300000</v>
      </c>
      <c r="I16" s="326">
        <v>3370</v>
      </c>
      <c r="J16" s="326">
        <f>I16*C16</f>
        <v>7077000000</v>
      </c>
      <c r="K16" s="326">
        <v>3882</v>
      </c>
      <c r="L16" s="326">
        <f>K16*C16</f>
        <v>8152200000</v>
      </c>
      <c r="M16" s="323"/>
    </row>
    <row r="17" spans="1:13" ht="15.75">
      <c r="A17" s="293">
        <v>4</v>
      </c>
      <c r="B17" s="294" t="s">
        <v>109</v>
      </c>
      <c r="C17" s="326">
        <v>1837500</v>
      </c>
      <c r="D17" s="326" t="s">
        <v>91</v>
      </c>
      <c r="E17" s="326">
        <v>1585</v>
      </c>
      <c r="F17" s="326">
        <f>E17*C17</f>
        <v>2912437500</v>
      </c>
      <c r="G17" s="326">
        <v>5498</v>
      </c>
      <c r="H17" s="326">
        <f>G17*C17</f>
        <v>10102575000</v>
      </c>
      <c r="I17" s="326">
        <v>1383</v>
      </c>
      <c r="J17" s="326">
        <f>I17*C17</f>
        <v>2541262500</v>
      </c>
      <c r="K17" s="326">
        <v>1493</v>
      </c>
      <c r="L17" s="326">
        <f>K17*C17</f>
        <v>2743387500</v>
      </c>
      <c r="M17" s="323"/>
    </row>
    <row r="18" spans="1:13" ht="15.75">
      <c r="A18" s="293">
        <v>5</v>
      </c>
      <c r="B18" s="294" t="s">
        <v>56</v>
      </c>
      <c r="C18" s="326">
        <v>741000</v>
      </c>
      <c r="D18" s="326" t="s">
        <v>91</v>
      </c>
      <c r="E18" s="326">
        <v>415</v>
      </c>
      <c r="F18" s="326">
        <f>E18*C18</f>
        <v>307515000</v>
      </c>
      <c r="G18" s="326">
        <v>2374</v>
      </c>
      <c r="H18" s="326">
        <f>G18*C18</f>
        <v>1759134000</v>
      </c>
      <c r="I18" s="326">
        <v>415</v>
      </c>
      <c r="J18" s="326">
        <f>I18*C18</f>
        <v>307515000</v>
      </c>
      <c r="K18" s="326">
        <v>113</v>
      </c>
      <c r="L18" s="326">
        <f>K18*C18</f>
        <v>83733000</v>
      </c>
      <c r="M18" s="323"/>
    </row>
    <row r="19" spans="1:13" ht="15.75">
      <c r="A19" s="293">
        <v>6</v>
      </c>
      <c r="B19" s="294" t="s">
        <v>263</v>
      </c>
      <c r="C19" s="326">
        <v>436800</v>
      </c>
      <c r="D19" s="326" t="s">
        <v>95</v>
      </c>
      <c r="E19" s="326">
        <v>8</v>
      </c>
      <c r="F19" s="326">
        <f>E19*C19</f>
        <v>3494400</v>
      </c>
      <c r="G19" s="326">
        <v>133</v>
      </c>
      <c r="H19" s="326">
        <f>G19*C19</f>
        <v>58094400</v>
      </c>
      <c r="I19" s="326">
        <v>21</v>
      </c>
      <c r="J19" s="326">
        <f>I19*C19</f>
        <v>9172800</v>
      </c>
      <c r="K19" s="326"/>
      <c r="L19" s="326"/>
      <c r="M19" s="323"/>
    </row>
    <row r="20" spans="1:13" ht="15.75">
      <c r="A20" s="293">
        <v>7</v>
      </c>
      <c r="B20" s="294" t="s">
        <v>57</v>
      </c>
      <c r="C20" s="326">
        <v>240000</v>
      </c>
      <c r="D20" s="326" t="s">
        <v>91</v>
      </c>
      <c r="E20" s="326">
        <v>3267</v>
      </c>
      <c r="F20" s="326">
        <f>E20*C20</f>
        <v>784080000</v>
      </c>
      <c r="G20" s="326">
        <v>8508</v>
      </c>
      <c r="H20" s="326">
        <f>G20*C20</f>
        <v>2041920000</v>
      </c>
      <c r="I20" s="326">
        <v>150</v>
      </c>
      <c r="J20" s="326">
        <f>I20*C20</f>
        <v>36000000</v>
      </c>
      <c r="K20" s="326"/>
      <c r="L20" s="326"/>
      <c r="M20" s="323"/>
    </row>
    <row r="21" spans="1:13" ht="15.75">
      <c r="A21" s="293">
        <v>8</v>
      </c>
      <c r="B21" s="294" t="s">
        <v>108</v>
      </c>
      <c r="C21" s="326">
        <v>20000</v>
      </c>
      <c r="D21" s="326" t="s">
        <v>94</v>
      </c>
      <c r="E21" s="326">
        <v>9850</v>
      </c>
      <c r="F21" s="326">
        <f>E21*C21</f>
        <v>197000000</v>
      </c>
      <c r="G21" s="326">
        <v>15500</v>
      </c>
      <c r="H21" s="326">
        <f>G21*C21</f>
        <v>310000000</v>
      </c>
      <c r="I21" s="326">
        <v>10000</v>
      </c>
      <c r="J21" s="326">
        <f>I21*C21</f>
        <v>200000000</v>
      </c>
      <c r="K21" s="326">
        <v>9500</v>
      </c>
      <c r="L21" s="326">
        <f>K21*C21</f>
        <v>190000000</v>
      </c>
      <c r="M21" s="323"/>
    </row>
    <row r="22" spans="1:13" ht="15.75">
      <c r="A22" s="293">
        <v>9</v>
      </c>
      <c r="B22" s="294" t="s">
        <v>100</v>
      </c>
      <c r="C22" s="326">
        <v>4500000</v>
      </c>
      <c r="D22" s="326" t="s">
        <v>101</v>
      </c>
      <c r="E22" s="326">
        <f>E47</f>
        <v>213</v>
      </c>
      <c r="F22" s="326">
        <f>E22*C22</f>
        <v>958500000</v>
      </c>
      <c r="G22" s="326">
        <f>G47</f>
        <v>36</v>
      </c>
      <c r="H22" s="326">
        <f>G22*C22</f>
        <v>162000000</v>
      </c>
      <c r="I22" s="326">
        <f>I47</f>
        <v>41</v>
      </c>
      <c r="J22" s="326">
        <f>I22*C22</f>
        <v>184500000</v>
      </c>
      <c r="K22" s="326">
        <f>K47</f>
        <v>43</v>
      </c>
      <c r="L22" s="326">
        <f>K22*C22</f>
        <v>193500000</v>
      </c>
      <c r="M22" s="323"/>
    </row>
    <row r="23" spans="1:13" ht="15.75">
      <c r="A23" s="33" t="s">
        <v>16</v>
      </c>
      <c r="B23" s="36" t="s">
        <v>58</v>
      </c>
      <c r="C23" s="322"/>
      <c r="D23" s="322"/>
      <c r="E23" s="322"/>
      <c r="F23" s="322">
        <f>F24+F25+F26+F27+F28+F29</f>
        <v>13128280000</v>
      </c>
      <c r="G23" s="322"/>
      <c r="H23" s="322">
        <f>H24+H25+H26+H27+H28+H29</f>
        <v>38542519000</v>
      </c>
      <c r="I23" s="322"/>
      <c r="J23" s="322">
        <f>J24+J25+J26+J27+J28+J29</f>
        <v>25694850000</v>
      </c>
      <c r="K23" s="322"/>
      <c r="L23" s="322">
        <f>L24+L25+L26+L27+L28+L29</f>
        <v>16515540000</v>
      </c>
      <c r="M23" s="323">
        <f>SUM(F23:L23)</f>
        <v>93881189000</v>
      </c>
    </row>
    <row r="24" spans="1:13" ht="15.75">
      <c r="A24" s="293">
        <v>1</v>
      </c>
      <c r="B24" s="294" t="s">
        <v>59</v>
      </c>
      <c r="C24" s="326">
        <v>7000</v>
      </c>
      <c r="D24" s="326" t="s">
        <v>91</v>
      </c>
      <c r="E24" s="326">
        <f>E8</f>
        <v>432140</v>
      </c>
      <c r="F24" s="326">
        <f>E24*C24</f>
        <v>3024980000</v>
      </c>
      <c r="G24" s="326">
        <f>G8</f>
        <v>802287</v>
      </c>
      <c r="H24" s="326">
        <f>G24*C24</f>
        <v>5616009000</v>
      </c>
      <c r="I24" s="326">
        <f>I8</f>
        <v>370050</v>
      </c>
      <c r="J24" s="326">
        <f>I24*C24</f>
        <v>2590350000</v>
      </c>
      <c r="K24" s="326">
        <f>K8</f>
        <v>213980</v>
      </c>
      <c r="L24" s="326">
        <f>K24*C24</f>
        <v>1497860000</v>
      </c>
      <c r="M24" s="323"/>
    </row>
    <row r="25" spans="1:13" ht="15.75">
      <c r="A25" s="293">
        <v>2</v>
      </c>
      <c r="B25" s="294" t="s">
        <v>107</v>
      </c>
      <c r="C25" s="326">
        <v>7000</v>
      </c>
      <c r="D25" s="326" t="s">
        <v>91</v>
      </c>
      <c r="E25" s="326">
        <f>E9</f>
        <v>582900</v>
      </c>
      <c r="F25" s="326">
        <f>E25*C25</f>
        <v>4080300000</v>
      </c>
      <c r="G25" s="326">
        <f>G9</f>
        <v>404430</v>
      </c>
      <c r="H25" s="326">
        <f>G25*C25</f>
        <v>2831010000</v>
      </c>
      <c r="I25" s="326">
        <f>I9</f>
        <v>123000</v>
      </c>
      <c r="J25" s="326">
        <f>I25*C25</f>
        <v>861000000</v>
      </c>
      <c r="K25" s="326">
        <f>K9</f>
        <v>82240</v>
      </c>
      <c r="L25" s="326">
        <f>K25*C25</f>
        <v>575680000</v>
      </c>
      <c r="M25" s="323"/>
    </row>
    <row r="26" spans="1:13" ht="15.75">
      <c r="A26" s="293">
        <v>3</v>
      </c>
      <c r="B26" s="294" t="s">
        <v>60</v>
      </c>
      <c r="C26" s="326">
        <v>466000</v>
      </c>
      <c r="D26" s="326" t="s">
        <v>93</v>
      </c>
      <c r="E26" s="326"/>
      <c r="F26" s="326"/>
      <c r="G26" s="326">
        <v>1000</v>
      </c>
      <c r="H26" s="326">
        <f>G26*C26</f>
        <v>466000000</v>
      </c>
      <c r="I26" s="326"/>
      <c r="J26" s="326"/>
      <c r="K26" s="326"/>
      <c r="L26" s="326"/>
      <c r="M26" s="323"/>
    </row>
    <row r="27" spans="1:13" ht="15.75">
      <c r="A27" s="293">
        <v>4</v>
      </c>
      <c r="B27" s="294" t="s">
        <v>61</v>
      </c>
      <c r="C27" s="326">
        <v>10000</v>
      </c>
      <c r="D27" s="326" t="s">
        <v>93</v>
      </c>
      <c r="E27" s="326">
        <v>200</v>
      </c>
      <c r="F27" s="326">
        <f>E27*C27</f>
        <v>2000000</v>
      </c>
      <c r="G27" s="326">
        <v>400</v>
      </c>
      <c r="H27" s="326">
        <f>G27*C27</f>
        <v>4000000</v>
      </c>
      <c r="I27" s="326">
        <v>200</v>
      </c>
      <c r="J27" s="326">
        <f>I27*C27</f>
        <v>2000000</v>
      </c>
      <c r="K27" s="326">
        <v>200</v>
      </c>
      <c r="L27" s="326">
        <f>K27*C27</f>
        <v>2000000</v>
      </c>
      <c r="M27" s="323"/>
    </row>
    <row r="28" spans="1:13" ht="15.75">
      <c r="A28" s="293">
        <v>5</v>
      </c>
      <c r="B28" s="294" t="s">
        <v>62</v>
      </c>
      <c r="C28" s="326">
        <v>850000</v>
      </c>
      <c r="D28" s="326" t="s">
        <v>93</v>
      </c>
      <c r="E28" s="326">
        <v>600</v>
      </c>
      <c r="F28" s="326">
        <f>E28*C28</f>
        <v>510000000</v>
      </c>
      <c r="G28" s="326">
        <v>650</v>
      </c>
      <c r="H28" s="326">
        <f>G28*C28</f>
        <v>552500000</v>
      </c>
      <c r="I28" s="326">
        <v>2950</v>
      </c>
      <c r="J28" s="326">
        <f>I28*C28</f>
        <v>2507500000</v>
      </c>
      <c r="K28" s="326">
        <f>7600-I28-G28-E28</f>
        <v>3400</v>
      </c>
      <c r="L28" s="326">
        <f>K28*C28</f>
        <v>2890000000</v>
      </c>
      <c r="M28" s="323"/>
    </row>
    <row r="29" spans="1:13" ht="31.5">
      <c r="A29" s="293">
        <v>6</v>
      </c>
      <c r="B29" s="294" t="s">
        <v>99</v>
      </c>
      <c r="C29" s="326">
        <v>22000</v>
      </c>
      <c r="D29" s="326" t="s">
        <v>93</v>
      </c>
      <c r="E29" s="326">
        <f>E11/10000*2000*75/100</f>
        <v>250500</v>
      </c>
      <c r="F29" s="326">
        <f>E29*C29</f>
        <v>5511000000</v>
      </c>
      <c r="G29" s="326">
        <f>G11/10000*2000*75/100</f>
        <v>1321500</v>
      </c>
      <c r="H29" s="326">
        <f>G29*C29</f>
        <v>29073000000</v>
      </c>
      <c r="I29" s="326">
        <f>I11/10000*2000*75/100</f>
        <v>897000</v>
      </c>
      <c r="J29" s="326">
        <f>I29*C29</f>
        <v>19734000000</v>
      </c>
      <c r="K29" s="326">
        <f>K11/10000*2000*75/100</f>
        <v>525000</v>
      </c>
      <c r="L29" s="326">
        <f>K29*C29</f>
        <v>11550000000</v>
      </c>
      <c r="M29" s="323"/>
    </row>
    <row r="30" spans="1:13" ht="31.5">
      <c r="A30" s="33" t="s">
        <v>33</v>
      </c>
      <c r="B30" s="36" t="s">
        <v>253</v>
      </c>
      <c r="C30" s="326">
        <v>5000</v>
      </c>
      <c r="D30" s="326" t="s">
        <v>91</v>
      </c>
      <c r="E30" s="326">
        <f>26*10000</f>
        <v>260000</v>
      </c>
      <c r="F30" s="327">
        <f>E30*C30</f>
        <v>1300000000</v>
      </c>
      <c r="G30" s="326"/>
      <c r="H30" s="326"/>
      <c r="I30" s="326"/>
      <c r="J30" s="326"/>
      <c r="K30" s="326"/>
      <c r="L30" s="326"/>
      <c r="M30" s="323">
        <f>SUM(F30:L30)</f>
        <v>1300000000</v>
      </c>
    </row>
    <row r="31" spans="1:13" ht="15.75">
      <c r="A31" s="33" t="s">
        <v>39</v>
      </c>
      <c r="B31" s="36" t="s">
        <v>254</v>
      </c>
      <c r="C31" s="326">
        <v>5000</v>
      </c>
      <c r="D31" s="326" t="s">
        <v>91</v>
      </c>
      <c r="E31" s="326">
        <f>10*10000</f>
        <v>100000</v>
      </c>
      <c r="F31" s="327">
        <f>E31*C31</f>
        <v>500000000</v>
      </c>
      <c r="G31" s="326"/>
      <c r="H31" s="326"/>
      <c r="I31" s="326"/>
      <c r="J31" s="326"/>
      <c r="K31" s="326"/>
      <c r="L31" s="326"/>
      <c r="M31" s="323">
        <f>SUM(F31:L31)</f>
        <v>500000000</v>
      </c>
    </row>
    <row r="32" spans="1:13" ht="15.75">
      <c r="A32" s="33" t="s">
        <v>41</v>
      </c>
      <c r="B32" s="36" t="s">
        <v>255</v>
      </c>
      <c r="C32" s="326">
        <v>5000</v>
      </c>
      <c r="D32" s="326" t="s">
        <v>91</v>
      </c>
      <c r="E32" s="326">
        <f>10000*50</f>
        <v>500000</v>
      </c>
      <c r="F32" s="327">
        <f>E32*C32</f>
        <v>2500000000</v>
      </c>
      <c r="G32" s="326"/>
      <c r="H32" s="326"/>
      <c r="I32" s="326"/>
      <c r="J32" s="326"/>
      <c r="K32" s="326"/>
      <c r="L32" s="326"/>
      <c r="M32" s="323">
        <f>SUM(F32:L32)</f>
        <v>2500000000</v>
      </c>
    </row>
    <row r="33" spans="1:13" ht="15.75">
      <c r="A33" s="33" t="s">
        <v>42</v>
      </c>
      <c r="B33" s="36" t="s">
        <v>63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3"/>
    </row>
    <row r="34" spans="1:13" ht="15.75">
      <c r="A34" s="33" t="s">
        <v>3</v>
      </c>
      <c r="B34" s="36" t="s">
        <v>64</v>
      </c>
      <c r="C34" s="322"/>
      <c r="D34" s="322"/>
      <c r="E34" s="322"/>
      <c r="F34" s="322">
        <f>F35+F36+F37+F38+F39</f>
        <v>7103599000</v>
      </c>
      <c r="G34" s="322"/>
      <c r="H34" s="322">
        <f>H35+H36+H37+H38+H39</f>
        <v>14023934200</v>
      </c>
      <c r="I34" s="322"/>
      <c r="J34" s="322">
        <f>J35+J36+J37+J38+J39</f>
        <v>7316532000</v>
      </c>
      <c r="K34" s="322"/>
      <c r="L34" s="322">
        <f>L35+L36+L37+L38+L39</f>
        <v>8142026000</v>
      </c>
      <c r="M34" s="323">
        <f>SUM(F34:L34)</f>
        <v>36586091200</v>
      </c>
    </row>
    <row r="35" spans="1:13" ht="31.5">
      <c r="A35" s="32">
        <v>1</v>
      </c>
      <c r="B35" s="35" t="s">
        <v>96</v>
      </c>
      <c r="C35" s="326">
        <v>12000</v>
      </c>
      <c r="D35" s="326" t="s">
        <v>81</v>
      </c>
      <c r="E35" s="326">
        <v>396</v>
      </c>
      <c r="F35" s="326">
        <f>E35*C35*30*48</f>
        <v>6842880000</v>
      </c>
      <c r="G35" s="326">
        <v>784</v>
      </c>
      <c r="H35" s="326">
        <f>G35*C35*30*48</f>
        <v>13547520000</v>
      </c>
      <c r="I35" s="326">
        <v>409</v>
      </c>
      <c r="J35" s="326">
        <f>I35*C35*30*48</f>
        <v>7067520000</v>
      </c>
      <c r="K35" s="326">
        <v>455</v>
      </c>
      <c r="L35" s="326">
        <f>K35*C35*30*48</f>
        <v>7862400000</v>
      </c>
      <c r="M35" s="323"/>
    </row>
    <row r="36" spans="1:13" ht="15.75">
      <c r="A36" s="32">
        <v>2</v>
      </c>
      <c r="B36" s="35" t="s">
        <v>65</v>
      </c>
      <c r="C36" s="326">
        <v>100000</v>
      </c>
      <c r="D36" s="326"/>
      <c r="E36" s="326">
        <v>396</v>
      </c>
      <c r="F36" s="326">
        <f>E36*C36</f>
        <v>39600000</v>
      </c>
      <c r="G36" s="326">
        <v>784</v>
      </c>
      <c r="H36" s="326">
        <f>G36*C36</f>
        <v>78400000</v>
      </c>
      <c r="I36" s="326">
        <v>409</v>
      </c>
      <c r="J36" s="326">
        <f>I36*C36</f>
        <v>40900000</v>
      </c>
      <c r="K36" s="326">
        <v>455</v>
      </c>
      <c r="L36" s="326">
        <f>K36*C36</f>
        <v>45500000</v>
      </c>
      <c r="M36" s="323"/>
    </row>
    <row r="37" spans="1:13" ht="15.75">
      <c r="A37" s="32">
        <v>3</v>
      </c>
      <c r="B37" s="35" t="s">
        <v>66</v>
      </c>
      <c r="C37" s="326">
        <v>700000</v>
      </c>
      <c r="D37" s="326" t="s">
        <v>92</v>
      </c>
      <c r="E37" s="326">
        <v>85</v>
      </c>
      <c r="F37" s="326">
        <f>E37*C37</f>
        <v>59500000</v>
      </c>
      <c r="G37" s="326">
        <v>153</v>
      </c>
      <c r="H37" s="326">
        <f>G37*C37</f>
        <v>107100000</v>
      </c>
      <c r="I37" s="326">
        <v>80</v>
      </c>
      <c r="J37" s="326">
        <f>I37*C37</f>
        <v>56000000</v>
      </c>
      <c r="K37" s="326">
        <v>90</v>
      </c>
      <c r="L37" s="326">
        <f>K37*C37</f>
        <v>63000000</v>
      </c>
      <c r="M37" s="323"/>
    </row>
    <row r="38" spans="1:13" ht="31.5">
      <c r="A38" s="32">
        <v>4</v>
      </c>
      <c r="B38" s="35" t="s">
        <v>82</v>
      </c>
      <c r="C38" s="326">
        <v>1453</v>
      </c>
      <c r="D38" s="326" t="s">
        <v>80</v>
      </c>
      <c r="E38" s="326">
        <v>85</v>
      </c>
      <c r="F38" s="326">
        <f>E38*C38*50*12</f>
        <v>74103000</v>
      </c>
      <c r="G38" s="326">
        <v>153</v>
      </c>
      <c r="H38" s="326">
        <f>G38*C38*50*12</f>
        <v>133385400</v>
      </c>
      <c r="I38" s="326">
        <v>80</v>
      </c>
      <c r="J38" s="326">
        <f>I38*C38*50*12</f>
        <v>69744000</v>
      </c>
      <c r="K38" s="326">
        <v>90</v>
      </c>
      <c r="L38" s="326">
        <f>K38*C38*50*12</f>
        <v>78462000</v>
      </c>
      <c r="M38" s="323"/>
    </row>
    <row r="39" spans="1:13" ht="15.75">
      <c r="A39" s="32">
        <v>5</v>
      </c>
      <c r="B39" s="35" t="s">
        <v>83</v>
      </c>
      <c r="C39" s="326">
        <v>17160</v>
      </c>
      <c r="D39" s="326" t="s">
        <v>84</v>
      </c>
      <c r="E39" s="326">
        <v>85</v>
      </c>
      <c r="F39" s="326">
        <f>E39*C39*5*12</f>
        <v>87516000</v>
      </c>
      <c r="G39" s="326">
        <v>153</v>
      </c>
      <c r="H39" s="326">
        <f>G39*C39*5*12</f>
        <v>157528800</v>
      </c>
      <c r="I39" s="326">
        <v>80</v>
      </c>
      <c r="J39" s="326">
        <f>I39*C39*5*12</f>
        <v>82368000</v>
      </c>
      <c r="K39" s="326">
        <v>90</v>
      </c>
      <c r="L39" s="326">
        <f>K39*C39*5*12</f>
        <v>92664000</v>
      </c>
      <c r="M39" s="323"/>
    </row>
    <row r="40" spans="1:13" ht="15.75">
      <c r="A40" s="33" t="s">
        <v>12</v>
      </c>
      <c r="B40" s="36" t="s">
        <v>67</v>
      </c>
      <c r="C40" s="322"/>
      <c r="D40" s="322"/>
      <c r="E40" s="322"/>
      <c r="F40" s="322">
        <f>F42+F41</f>
        <v>1439400000</v>
      </c>
      <c r="G40" s="322"/>
      <c r="H40" s="322">
        <f>H42+H41</f>
        <v>2570400000</v>
      </c>
      <c r="I40" s="322"/>
      <c r="J40" s="322">
        <f>J42+J41</f>
        <v>1344000000</v>
      </c>
      <c r="K40" s="322"/>
      <c r="L40" s="322">
        <f>L42+L41</f>
        <v>1512000000</v>
      </c>
      <c r="M40" s="323">
        <f>SUM(F40:L40)</f>
        <v>6865800000</v>
      </c>
    </row>
    <row r="41" spans="1:13" ht="15.75">
      <c r="A41" s="32">
        <v>1</v>
      </c>
      <c r="B41" s="328" t="s">
        <v>250</v>
      </c>
      <c r="C41" s="326">
        <f>5600000*3</f>
        <v>16800000</v>
      </c>
      <c r="D41" s="326" t="s">
        <v>90</v>
      </c>
      <c r="E41" s="326">
        <v>85</v>
      </c>
      <c r="F41" s="326">
        <f>C41*E41</f>
        <v>1428000000</v>
      </c>
      <c r="G41" s="326">
        <v>153</v>
      </c>
      <c r="H41" s="326">
        <f>G41*C41</f>
        <v>2570400000</v>
      </c>
      <c r="I41" s="326">
        <v>80</v>
      </c>
      <c r="J41" s="326">
        <f>I41*C41</f>
        <v>1344000000</v>
      </c>
      <c r="K41" s="326">
        <v>90</v>
      </c>
      <c r="L41" s="326">
        <f>K41*C41</f>
        <v>1512000000</v>
      </c>
      <c r="M41" s="325"/>
    </row>
    <row r="42" spans="1:13" ht="15.75">
      <c r="A42" s="32">
        <v>2</v>
      </c>
      <c r="B42" s="35" t="s">
        <v>68</v>
      </c>
      <c r="C42" s="326">
        <v>15000000</v>
      </c>
      <c r="D42" s="326" t="s">
        <v>85</v>
      </c>
      <c r="E42" s="329">
        <v>0.76</v>
      </c>
      <c r="F42" s="326">
        <f>E42*C42</f>
        <v>11400000</v>
      </c>
      <c r="G42" s="326"/>
      <c r="H42" s="326"/>
      <c r="I42" s="326"/>
      <c r="J42" s="326"/>
      <c r="K42" s="326"/>
      <c r="L42" s="326"/>
      <c r="M42" s="323"/>
    </row>
    <row r="43" spans="1:13" ht="15.75">
      <c r="A43" s="33" t="s">
        <v>16</v>
      </c>
      <c r="B43" s="36" t="s">
        <v>69</v>
      </c>
      <c r="C43" s="322"/>
      <c r="D43" s="322"/>
      <c r="E43" s="322"/>
      <c r="F43" s="322">
        <f>SUM(F44:F52)</f>
        <v>12394550000</v>
      </c>
      <c r="G43" s="322"/>
      <c r="H43" s="322">
        <f>SUM(H44:H52)</f>
        <v>21292750000</v>
      </c>
      <c r="I43" s="322"/>
      <c r="J43" s="322">
        <f>SUM(J44:J52)</f>
        <v>11261325000</v>
      </c>
      <c r="K43" s="322"/>
      <c r="L43" s="322">
        <f>SUM(L44:L52)</f>
        <v>12559375000</v>
      </c>
      <c r="M43" s="323">
        <f>SUM(F43:L43)</f>
        <v>57508000000</v>
      </c>
    </row>
    <row r="44" spans="1:13" ht="30">
      <c r="A44" s="33"/>
      <c r="B44" s="330" t="s">
        <v>243</v>
      </c>
      <c r="C44" s="322">
        <f>500000*5</f>
        <v>2500000</v>
      </c>
      <c r="D44" s="326" t="s">
        <v>251</v>
      </c>
      <c r="E44" s="322">
        <f>E45</f>
        <v>85</v>
      </c>
      <c r="F44" s="326">
        <f>E44*C44</f>
        <v>212500000</v>
      </c>
      <c r="G44" s="322">
        <f>G45</f>
        <v>153</v>
      </c>
      <c r="H44" s="326">
        <f>G44*C44</f>
        <v>382500000</v>
      </c>
      <c r="I44" s="322">
        <f>I45</f>
        <v>80</v>
      </c>
      <c r="J44" s="326">
        <f>I44*C44</f>
        <v>200000000</v>
      </c>
      <c r="K44" s="322">
        <f>K45</f>
        <v>90</v>
      </c>
      <c r="L44" s="326">
        <f>K44*C44</f>
        <v>225000000</v>
      </c>
      <c r="M44" s="323"/>
    </row>
    <row r="45" spans="1:13" ht="31.5">
      <c r="A45" s="32">
        <v>1</v>
      </c>
      <c r="B45" s="35" t="s">
        <v>70</v>
      </c>
      <c r="C45" s="326">
        <v>1000000</v>
      </c>
      <c r="D45" s="326" t="s">
        <v>90</v>
      </c>
      <c r="E45" s="326">
        <v>85</v>
      </c>
      <c r="F45" s="326">
        <f>E45*C45</f>
        <v>85000000</v>
      </c>
      <c r="G45" s="326">
        <v>153</v>
      </c>
      <c r="H45" s="326">
        <f>G45*C45</f>
        <v>153000000</v>
      </c>
      <c r="I45" s="326">
        <v>80</v>
      </c>
      <c r="J45" s="326">
        <f>I45*C45</f>
        <v>80000000</v>
      </c>
      <c r="K45" s="326">
        <v>90</v>
      </c>
      <c r="L45" s="326">
        <f>K45*C45</f>
        <v>90000000</v>
      </c>
      <c r="M45" s="323"/>
    </row>
    <row r="46" spans="1:13" ht="31.5">
      <c r="A46" s="32">
        <v>2</v>
      </c>
      <c r="B46" s="35" t="s">
        <v>71</v>
      </c>
      <c r="C46" s="326">
        <v>5000000</v>
      </c>
      <c r="D46" s="326" t="s">
        <v>90</v>
      </c>
      <c r="E46" s="326">
        <v>85</v>
      </c>
      <c r="F46" s="326">
        <f>E46*C46</f>
        <v>425000000</v>
      </c>
      <c r="G46" s="326">
        <v>153</v>
      </c>
      <c r="H46" s="326">
        <f>G46*C46</f>
        <v>765000000</v>
      </c>
      <c r="I46" s="326">
        <v>80</v>
      </c>
      <c r="J46" s="326">
        <f>I46*C46</f>
        <v>400000000</v>
      </c>
      <c r="K46" s="326">
        <v>90</v>
      </c>
      <c r="L46" s="326">
        <f>K46*C46</f>
        <v>450000000</v>
      </c>
      <c r="M46" s="323"/>
    </row>
    <row r="47" spans="1:13" ht="15.75">
      <c r="A47" s="32">
        <v>3</v>
      </c>
      <c r="B47" s="35" t="s">
        <v>72</v>
      </c>
      <c r="C47" s="326">
        <v>2000000</v>
      </c>
      <c r="D47" s="326" t="s">
        <v>86</v>
      </c>
      <c r="E47" s="326">
        <v>213</v>
      </c>
      <c r="F47" s="326">
        <f>E47*C47</f>
        <v>426000000</v>
      </c>
      <c r="G47" s="326">
        <v>36</v>
      </c>
      <c r="H47" s="326">
        <f>G47*C47</f>
        <v>72000000</v>
      </c>
      <c r="I47" s="326">
        <v>41</v>
      </c>
      <c r="J47" s="326">
        <f>I47*C47</f>
        <v>82000000</v>
      </c>
      <c r="K47" s="326">
        <v>43</v>
      </c>
      <c r="L47" s="326">
        <f>K47*C47</f>
        <v>86000000</v>
      </c>
      <c r="M47" s="323"/>
    </row>
    <row r="48" spans="1:13" ht="15.75">
      <c r="A48" s="32"/>
      <c r="B48" s="330" t="s">
        <v>244</v>
      </c>
      <c r="C48" s="326">
        <v>4500000</v>
      </c>
      <c r="D48" s="326" t="s">
        <v>86</v>
      </c>
      <c r="E48" s="326">
        <f>E47</f>
        <v>213</v>
      </c>
      <c r="F48" s="326">
        <f>E48*C48</f>
        <v>958500000</v>
      </c>
      <c r="G48" s="326">
        <f>G47</f>
        <v>36</v>
      </c>
      <c r="H48" s="326">
        <f>G48*C48</f>
        <v>162000000</v>
      </c>
      <c r="I48" s="326">
        <f>I47</f>
        <v>41</v>
      </c>
      <c r="J48" s="326">
        <f>I48*C48</f>
        <v>184500000</v>
      </c>
      <c r="K48" s="326">
        <f>K47</f>
        <v>43</v>
      </c>
      <c r="L48" s="326">
        <f>K48*C48</f>
        <v>193500000</v>
      </c>
      <c r="M48" s="323"/>
    </row>
    <row r="49" spans="1:13" ht="15.75">
      <c r="A49" s="32">
        <v>4</v>
      </c>
      <c r="B49" s="35" t="s">
        <v>73</v>
      </c>
      <c r="C49" s="326">
        <v>5000000</v>
      </c>
      <c r="D49" s="326" t="s">
        <v>90</v>
      </c>
      <c r="E49" s="326">
        <v>85</v>
      </c>
      <c r="F49" s="326">
        <f>E49*C49</f>
        <v>425000000</v>
      </c>
      <c r="G49" s="326">
        <v>153</v>
      </c>
      <c r="H49" s="326">
        <f>G49*C49</f>
        <v>765000000</v>
      </c>
      <c r="I49" s="326">
        <v>80</v>
      </c>
      <c r="J49" s="326">
        <f>I49*C49</f>
        <v>400000000</v>
      </c>
      <c r="K49" s="326">
        <v>90</v>
      </c>
      <c r="L49" s="326">
        <f>K49*C49</f>
        <v>450000000</v>
      </c>
      <c r="M49" s="323"/>
    </row>
    <row r="50" spans="1:13" ht="31.5">
      <c r="A50" s="32">
        <v>5</v>
      </c>
      <c r="B50" s="35" t="s">
        <v>87</v>
      </c>
      <c r="C50" s="326">
        <v>3485000</v>
      </c>
      <c r="D50" s="326" t="s">
        <v>91</v>
      </c>
      <c r="E50" s="326">
        <f>15*85+5*311</f>
        <v>2830</v>
      </c>
      <c r="F50" s="326">
        <f>E50*C50</f>
        <v>9862550000</v>
      </c>
      <c r="G50" s="326">
        <f>15*153+5*(784-153)</f>
        <v>5450</v>
      </c>
      <c r="H50" s="326">
        <f>G50*C50</f>
        <v>18993250000</v>
      </c>
      <c r="I50" s="326">
        <f>15*80+5*(409-80)</f>
        <v>2845</v>
      </c>
      <c r="J50" s="326">
        <f>I50*C50</f>
        <v>9914825000</v>
      </c>
      <c r="K50" s="326">
        <f>15*90+5*(455-90)</f>
        <v>3175</v>
      </c>
      <c r="L50" s="326">
        <f>K50*C50</f>
        <v>11064875000</v>
      </c>
      <c r="M50" s="323"/>
    </row>
    <row r="51" spans="1:13" ht="30">
      <c r="A51" s="32"/>
      <c r="B51" s="294" t="s">
        <v>245</v>
      </c>
      <c r="C51" s="322">
        <f>80%*C17</f>
        <v>1470000</v>
      </c>
      <c r="D51" s="326" t="s">
        <v>91</v>
      </c>
      <c r="E51" s="326" t="s">
        <v>246</v>
      </c>
      <c r="F51" s="326"/>
      <c r="G51" s="326"/>
      <c r="H51" s="326"/>
      <c r="I51" s="326"/>
      <c r="J51" s="326"/>
      <c r="K51" s="326"/>
      <c r="L51" s="326"/>
      <c r="M51" s="323"/>
    </row>
    <row r="52" spans="1:13" ht="30">
      <c r="A52" s="32"/>
      <c r="B52" s="328" t="s">
        <v>247</v>
      </c>
      <c r="C52" s="322">
        <v>5000000</v>
      </c>
      <c r="D52" s="326" t="s">
        <v>90</v>
      </c>
      <c r="E52" s="326" t="s">
        <v>246</v>
      </c>
      <c r="F52" s="326"/>
      <c r="G52" s="326"/>
      <c r="H52" s="326"/>
      <c r="I52" s="326"/>
      <c r="J52" s="326"/>
      <c r="K52" s="326"/>
      <c r="L52" s="326"/>
      <c r="M52" s="323"/>
    </row>
    <row r="53" spans="1:13" ht="15.75">
      <c r="A53" s="33" t="s">
        <v>111</v>
      </c>
      <c r="B53" s="36" t="s">
        <v>74</v>
      </c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23"/>
    </row>
    <row r="54" spans="1:13" ht="15.75">
      <c r="A54" s="33" t="s">
        <v>3</v>
      </c>
      <c r="B54" s="36" t="s">
        <v>75</v>
      </c>
      <c r="C54" s="322"/>
      <c r="D54" s="322"/>
      <c r="E54" s="322"/>
      <c r="F54" s="322">
        <f>F55</f>
        <v>425000000</v>
      </c>
      <c r="G54" s="322"/>
      <c r="H54" s="322">
        <f>H55</f>
        <v>765000000</v>
      </c>
      <c r="I54" s="322"/>
      <c r="J54" s="322">
        <f>J55</f>
        <v>400000000</v>
      </c>
      <c r="K54" s="322"/>
      <c r="L54" s="322">
        <f>L55</f>
        <v>450000000</v>
      </c>
      <c r="M54" s="323">
        <f>SUM(F54:L54)</f>
        <v>2040000000</v>
      </c>
    </row>
    <row r="55" spans="1:13" ht="15.75">
      <c r="A55" s="32">
        <v>1</v>
      </c>
      <c r="B55" s="35" t="s">
        <v>89</v>
      </c>
      <c r="C55" s="326">
        <v>5000000</v>
      </c>
      <c r="D55" s="326" t="s">
        <v>90</v>
      </c>
      <c r="E55" s="326">
        <v>85</v>
      </c>
      <c r="F55" s="326">
        <f>E55*C55</f>
        <v>425000000</v>
      </c>
      <c r="G55" s="326">
        <v>153</v>
      </c>
      <c r="H55" s="326">
        <f>G55*C55</f>
        <v>765000000</v>
      </c>
      <c r="I55" s="326">
        <v>80</v>
      </c>
      <c r="J55" s="326">
        <f>I55*C55</f>
        <v>400000000</v>
      </c>
      <c r="K55" s="326">
        <v>90</v>
      </c>
      <c r="L55" s="326">
        <f>K55*C55</f>
        <v>450000000</v>
      </c>
      <c r="M55" s="323"/>
    </row>
    <row r="56" spans="1:13" ht="15.75">
      <c r="A56" s="33" t="s">
        <v>12</v>
      </c>
      <c r="B56" s="36" t="s">
        <v>88</v>
      </c>
      <c r="C56" s="322"/>
      <c r="D56" s="322"/>
      <c r="E56" s="322"/>
      <c r="F56" s="322">
        <f>F57</f>
        <v>850000000</v>
      </c>
      <c r="G56" s="322"/>
      <c r="H56" s="322">
        <f>H57</f>
        <v>1530000000</v>
      </c>
      <c r="I56" s="322"/>
      <c r="J56" s="322">
        <f>J57</f>
        <v>800000000</v>
      </c>
      <c r="K56" s="322"/>
      <c r="L56" s="322">
        <f>L57</f>
        <v>900000000</v>
      </c>
      <c r="M56" s="323">
        <f>SUM(F56:L56)</f>
        <v>4080000000</v>
      </c>
    </row>
    <row r="57" spans="1:13" ht="15.75">
      <c r="A57" s="32">
        <v>1</v>
      </c>
      <c r="B57" s="330" t="s">
        <v>248</v>
      </c>
      <c r="C57" s="326">
        <v>10000000</v>
      </c>
      <c r="D57" s="326" t="s">
        <v>90</v>
      </c>
      <c r="E57" s="326">
        <v>85</v>
      </c>
      <c r="F57" s="326">
        <f>E57*C57</f>
        <v>850000000</v>
      </c>
      <c r="G57" s="326">
        <v>153</v>
      </c>
      <c r="H57" s="326">
        <f>G57*C57</f>
        <v>1530000000</v>
      </c>
      <c r="I57" s="326">
        <v>80</v>
      </c>
      <c r="J57" s="326">
        <f>I57*C57</f>
        <v>800000000</v>
      </c>
      <c r="K57" s="326">
        <v>90</v>
      </c>
      <c r="L57" s="326">
        <f>K57*C57</f>
        <v>900000000</v>
      </c>
      <c r="M57" s="323"/>
    </row>
    <row r="58" spans="1:13" ht="15.75">
      <c r="A58" s="33" t="s">
        <v>16</v>
      </c>
      <c r="B58" s="36" t="s">
        <v>76</v>
      </c>
      <c r="C58" s="322"/>
      <c r="D58" s="322"/>
      <c r="E58" s="322"/>
      <c r="F58" s="322">
        <f>F59</f>
        <v>1275000000</v>
      </c>
      <c r="G58" s="322"/>
      <c r="H58" s="322">
        <f>H59</f>
        <v>1530000000</v>
      </c>
      <c r="I58" s="322"/>
      <c r="J58" s="322">
        <f>J59</f>
        <v>4400000000</v>
      </c>
      <c r="K58" s="322"/>
      <c r="L58" s="322">
        <f>L59</f>
        <v>4950000000</v>
      </c>
      <c r="M58" s="323">
        <f>SUM(F58:L58)</f>
        <v>12155000000</v>
      </c>
    </row>
    <row r="59" spans="1:13" ht="15.75">
      <c r="A59" s="32">
        <v>1</v>
      </c>
      <c r="B59" s="330" t="s">
        <v>249</v>
      </c>
      <c r="C59" s="326">
        <v>10000000</v>
      </c>
      <c r="D59" s="326" t="s">
        <v>85</v>
      </c>
      <c r="E59" s="332">
        <v>127.5</v>
      </c>
      <c r="F59" s="326">
        <f>E59*C59</f>
        <v>1275000000</v>
      </c>
      <c r="G59" s="326">
        <v>153</v>
      </c>
      <c r="H59" s="326">
        <f>G59*C59</f>
        <v>1530000000</v>
      </c>
      <c r="I59" s="326">
        <v>440</v>
      </c>
      <c r="J59" s="326">
        <f>I59*C59</f>
        <v>4400000000</v>
      </c>
      <c r="K59" s="326">
        <v>495</v>
      </c>
      <c r="L59" s="326">
        <f>K59*C59</f>
        <v>4950000000</v>
      </c>
      <c r="M59" s="323"/>
    </row>
    <row r="60" spans="1:13" ht="15">
      <c r="A60" s="322" t="s">
        <v>256</v>
      </c>
      <c r="B60" s="322" t="s">
        <v>268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3">
        <f>SUM(M6:M59)</f>
        <v>565636762300</v>
      </c>
    </row>
    <row r="61" spans="1:12" s="319" customFormat="1" ht="14.25">
      <c r="A61" s="380" t="s">
        <v>275</v>
      </c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</row>
    <row r="62" spans="1:15" ht="15">
      <c r="A62" s="380"/>
      <c r="B62" s="380"/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19"/>
      <c r="N62" s="319"/>
      <c r="O62" s="319"/>
    </row>
    <row r="63" spans="1:13" s="319" customFormat="1" ht="14.25">
      <c r="A63" s="382" t="s">
        <v>0</v>
      </c>
      <c r="B63" s="382" t="s">
        <v>46</v>
      </c>
      <c r="C63" s="322"/>
      <c r="D63" s="322"/>
      <c r="E63" s="383" t="s">
        <v>98</v>
      </c>
      <c r="F63" s="383"/>
      <c r="G63" s="383" t="s">
        <v>102</v>
      </c>
      <c r="H63" s="383"/>
      <c r="I63" s="383" t="s">
        <v>103</v>
      </c>
      <c r="J63" s="383"/>
      <c r="K63" s="383" t="s">
        <v>97</v>
      </c>
      <c r="L63" s="383"/>
      <c r="M63" s="323" t="s">
        <v>18</v>
      </c>
    </row>
    <row r="64" spans="1:13" ht="28.5">
      <c r="A64" s="382"/>
      <c r="B64" s="382"/>
      <c r="C64" s="322" t="s">
        <v>78</v>
      </c>
      <c r="D64" s="322" t="s">
        <v>22</v>
      </c>
      <c r="E64" s="322" t="s">
        <v>77</v>
      </c>
      <c r="F64" s="322" t="s">
        <v>79</v>
      </c>
      <c r="G64" s="322" t="s">
        <v>77</v>
      </c>
      <c r="H64" s="322" t="s">
        <v>79</v>
      </c>
      <c r="I64" s="322" t="s">
        <v>77</v>
      </c>
      <c r="J64" s="322" t="s">
        <v>79</v>
      </c>
      <c r="K64" s="322" t="s">
        <v>77</v>
      </c>
      <c r="L64" s="322" t="s">
        <v>79</v>
      </c>
      <c r="M64" s="325"/>
    </row>
    <row r="65" spans="1:13" s="319" customFormat="1" ht="16.5">
      <c r="A65" s="321" t="s">
        <v>24</v>
      </c>
      <c r="B65" s="324" t="s">
        <v>105</v>
      </c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3"/>
    </row>
    <row r="66" spans="1:13" ht="15.75">
      <c r="A66" s="33" t="s">
        <v>3</v>
      </c>
      <c r="B66" s="36" t="s">
        <v>47</v>
      </c>
      <c r="C66" s="322"/>
      <c r="D66" s="322"/>
      <c r="E66" s="322"/>
      <c r="F66" s="322">
        <f>F67+F68+F69+F70+F71+F72</f>
        <v>52365820000</v>
      </c>
      <c r="G66" s="322"/>
      <c r="H66" s="322">
        <f>H67+H68+H69+H70+H71+H72</f>
        <v>105523023000</v>
      </c>
      <c r="I66" s="322"/>
      <c r="J66" s="322">
        <f>J67+J68+J69+J70+J71+J72</f>
        <v>51932370000</v>
      </c>
      <c r="K66" s="322"/>
      <c r="L66" s="322">
        <f>L67+L68+L69+L70+L71+L72</f>
        <v>31528520000</v>
      </c>
      <c r="M66" s="323">
        <f>SUM(F66:L66)</f>
        <v>241349733000</v>
      </c>
    </row>
    <row r="67" spans="1:13" ht="15.75">
      <c r="A67" s="293">
        <v>1</v>
      </c>
      <c r="B67" s="294" t="s">
        <v>48</v>
      </c>
      <c r="C67" s="326">
        <v>160000</v>
      </c>
      <c r="D67" s="326" t="s">
        <v>91</v>
      </c>
      <c r="E67" s="326">
        <v>37670</v>
      </c>
      <c r="F67" s="326">
        <f>E67*C67</f>
        <v>6027200000</v>
      </c>
      <c r="G67" s="326">
        <v>98163</v>
      </c>
      <c r="H67" s="326">
        <f>G67*C67</f>
        <v>15706080000</v>
      </c>
      <c r="I67" s="326">
        <v>21207</v>
      </c>
      <c r="J67" s="326">
        <f>I67*C67</f>
        <v>3393120000</v>
      </c>
      <c r="K67" s="326">
        <v>17840</v>
      </c>
      <c r="L67" s="326">
        <f>K67*C67</f>
        <v>2854400000</v>
      </c>
      <c r="M67" s="325"/>
    </row>
    <row r="68" spans="1:13" ht="15.75">
      <c r="A68" s="293">
        <v>2</v>
      </c>
      <c r="B68" s="294" t="s">
        <v>49</v>
      </c>
      <c r="C68" s="326">
        <v>38000</v>
      </c>
      <c r="D68" s="326" t="s">
        <v>91</v>
      </c>
      <c r="E68" s="326">
        <v>432140</v>
      </c>
      <c r="F68" s="326">
        <f>E68*C68</f>
        <v>16421320000</v>
      </c>
      <c r="G68" s="326">
        <v>802287</v>
      </c>
      <c r="H68" s="326">
        <f>G68*C68</f>
        <v>30486906000</v>
      </c>
      <c r="I68" s="326">
        <v>370050</v>
      </c>
      <c r="J68" s="326">
        <f>I68*C68</f>
        <v>14061900000</v>
      </c>
      <c r="K68" s="326">
        <v>213980</v>
      </c>
      <c r="L68" s="326">
        <f>K68*C68</f>
        <v>8131240000</v>
      </c>
      <c r="M68" s="325"/>
    </row>
    <row r="69" spans="1:13" ht="15.75">
      <c r="A69" s="293">
        <v>3</v>
      </c>
      <c r="B69" s="294" t="s">
        <v>50</v>
      </c>
      <c r="C69" s="326">
        <v>37000</v>
      </c>
      <c r="D69" s="326" t="s">
        <v>91</v>
      </c>
      <c r="E69" s="326">
        <v>582900</v>
      </c>
      <c r="F69" s="326">
        <f>E69*C69</f>
        <v>21567300000</v>
      </c>
      <c r="G69" s="326">
        <v>404430</v>
      </c>
      <c r="H69" s="326">
        <f>G69*C69</f>
        <v>14963910000</v>
      </c>
      <c r="I69" s="326">
        <v>123000</v>
      </c>
      <c r="J69" s="326">
        <f>I69*C69</f>
        <v>4551000000</v>
      </c>
      <c r="K69" s="326">
        <v>82240</v>
      </c>
      <c r="L69" s="326">
        <f>K69*C69</f>
        <v>3042880000</v>
      </c>
      <c r="M69" s="325"/>
    </row>
    <row r="70" spans="1:13" s="319" customFormat="1" ht="15.75">
      <c r="A70" s="293">
        <v>4</v>
      </c>
      <c r="B70" s="294" t="s">
        <v>51</v>
      </c>
      <c r="C70" s="326">
        <v>29000</v>
      </c>
      <c r="D70" s="326" t="s">
        <v>91</v>
      </c>
      <c r="E70" s="326"/>
      <c r="F70" s="326"/>
      <c r="G70" s="326">
        <v>4423</v>
      </c>
      <c r="H70" s="326">
        <f>G70*C70</f>
        <v>128267000</v>
      </c>
      <c r="I70" s="326"/>
      <c r="J70" s="326"/>
      <c r="K70" s="326"/>
      <c r="L70" s="326"/>
      <c r="M70" s="323"/>
    </row>
    <row r="71" spans="1:13" ht="15.75">
      <c r="A71" s="293">
        <v>5</v>
      </c>
      <c r="B71" s="294" t="s">
        <v>52</v>
      </c>
      <c r="C71" s="326">
        <v>5000</v>
      </c>
      <c r="D71" s="326" t="s">
        <v>91</v>
      </c>
      <c r="E71" s="326">
        <v>1670000</v>
      </c>
      <c r="F71" s="326">
        <f>E71*C71</f>
        <v>8350000000</v>
      </c>
      <c r="G71" s="326">
        <v>8810000</v>
      </c>
      <c r="H71" s="326">
        <f>G71*C71</f>
        <v>44050000000</v>
      </c>
      <c r="I71" s="326">
        <v>5980000</v>
      </c>
      <c r="J71" s="326">
        <f>I71*C71</f>
        <v>29900000000</v>
      </c>
      <c r="K71" s="326">
        <v>3500000</v>
      </c>
      <c r="L71" s="326">
        <f>K71*C71</f>
        <v>17500000000</v>
      </c>
      <c r="M71" s="325"/>
    </row>
    <row r="72" spans="1:13" ht="15.75">
      <c r="A72" s="293">
        <v>6</v>
      </c>
      <c r="B72" s="294" t="s">
        <v>53</v>
      </c>
      <c r="C72" s="326">
        <v>31000</v>
      </c>
      <c r="D72" s="326" t="s">
        <v>91</v>
      </c>
      <c r="E72" s="326"/>
      <c r="F72" s="326"/>
      <c r="G72" s="326">
        <v>6060</v>
      </c>
      <c r="H72" s="326">
        <f>G72*C72</f>
        <v>187860000</v>
      </c>
      <c r="I72" s="326">
        <v>850</v>
      </c>
      <c r="J72" s="326">
        <f>I72*C72</f>
        <v>26350000</v>
      </c>
      <c r="K72" s="326"/>
      <c r="L72" s="326"/>
      <c r="M72" s="325"/>
    </row>
    <row r="73" spans="1:13" ht="15.75">
      <c r="A73" s="33" t="s">
        <v>12</v>
      </c>
      <c r="B73" s="36" t="s">
        <v>54</v>
      </c>
      <c r="C73" s="322"/>
      <c r="D73" s="322"/>
      <c r="E73" s="322"/>
      <c r="F73" s="322">
        <f>F74+F75+F76+F77+F78+F79+F80+F81+F82</f>
        <v>19874474900</v>
      </c>
      <c r="G73" s="322"/>
      <c r="H73" s="322">
        <f>H74+H75+H76+H77+H78+H79+H80+H81+H82</f>
        <v>53007243400</v>
      </c>
      <c r="I73" s="322"/>
      <c r="J73" s="322">
        <f>J74+J75+J76+J77+J78+J79+J80+J81+J82</f>
        <v>16757690300</v>
      </c>
      <c r="K73" s="322"/>
      <c r="L73" s="322">
        <f>L74+L75+L76+L77+L78+L79+L80+L81+L82</f>
        <v>17231540500</v>
      </c>
      <c r="M73" s="323">
        <f>SUM(F73:L73)</f>
        <v>106870949100</v>
      </c>
    </row>
    <row r="74" spans="1:13" ht="15.75">
      <c r="A74" s="293">
        <v>1</v>
      </c>
      <c r="B74" s="294" t="s">
        <v>262</v>
      </c>
      <c r="C74" s="326">
        <v>2823000</v>
      </c>
      <c r="D74" s="326" t="s">
        <v>91</v>
      </c>
      <c r="E74" s="326"/>
      <c r="F74" s="326"/>
      <c r="G74" s="326">
        <v>60</v>
      </c>
      <c r="H74" s="326">
        <f>G74*C74</f>
        <v>169380000</v>
      </c>
      <c r="I74" s="326"/>
      <c r="J74" s="326"/>
      <c r="K74" s="326"/>
      <c r="L74" s="326"/>
      <c r="M74" s="325"/>
    </row>
    <row r="75" spans="1:13" ht="15.75">
      <c r="A75" s="293">
        <v>2</v>
      </c>
      <c r="B75" s="294" t="s">
        <v>55</v>
      </c>
      <c r="C75" s="326">
        <v>2736000</v>
      </c>
      <c r="D75" s="326" t="s">
        <v>91</v>
      </c>
      <c r="E75" s="326">
        <v>1068</v>
      </c>
      <c r="F75" s="326">
        <f>E75*C75</f>
        <v>2922048000</v>
      </c>
      <c r="G75" s="326">
        <v>4440</v>
      </c>
      <c r="H75" s="326">
        <f>G75*C75</f>
        <v>12147840000</v>
      </c>
      <c r="I75" s="326">
        <v>2340</v>
      </c>
      <c r="J75" s="326">
        <f>I75*C75</f>
        <v>6402240000</v>
      </c>
      <c r="K75" s="326">
        <v>2145</v>
      </c>
      <c r="L75" s="326">
        <f>K75*C75</f>
        <v>5868720000</v>
      </c>
      <c r="M75" s="325"/>
    </row>
    <row r="76" spans="1:13" ht="15.75">
      <c r="A76" s="293">
        <v>3</v>
      </c>
      <c r="B76" s="294" t="s">
        <v>106</v>
      </c>
      <c r="C76" s="326">
        <v>2100000</v>
      </c>
      <c r="D76" s="326" t="s">
        <v>91</v>
      </c>
      <c r="E76" s="326">
        <v>5614</v>
      </c>
      <c r="F76" s="326">
        <f>E76*C76</f>
        <v>11789400000</v>
      </c>
      <c r="G76" s="326">
        <v>12503</v>
      </c>
      <c r="H76" s="326">
        <f>G76*C76</f>
        <v>26256300000</v>
      </c>
      <c r="I76" s="326">
        <v>3370</v>
      </c>
      <c r="J76" s="326">
        <f>I76*C76</f>
        <v>7077000000</v>
      </c>
      <c r="K76" s="326">
        <v>3882</v>
      </c>
      <c r="L76" s="326">
        <f>K76*C76</f>
        <v>8152200000</v>
      </c>
      <c r="M76" s="325"/>
    </row>
    <row r="77" spans="1:13" ht="15.75">
      <c r="A77" s="293">
        <v>4</v>
      </c>
      <c r="B77" s="294" t="s">
        <v>109</v>
      </c>
      <c r="C77" s="326">
        <v>1837500</v>
      </c>
      <c r="D77" s="326" t="s">
        <v>91</v>
      </c>
      <c r="E77" s="326">
        <v>1585</v>
      </c>
      <c r="F77" s="326">
        <f>E77*C77</f>
        <v>2912437500</v>
      </c>
      <c r="G77" s="326">
        <v>5498</v>
      </c>
      <c r="H77" s="326">
        <f>G77*C77</f>
        <v>10102575000</v>
      </c>
      <c r="I77" s="326">
        <v>1383</v>
      </c>
      <c r="J77" s="326">
        <f>I77*C77</f>
        <v>2541262500</v>
      </c>
      <c r="K77" s="326">
        <v>1493</v>
      </c>
      <c r="L77" s="326">
        <f>K77*C77</f>
        <v>2743387500</v>
      </c>
      <c r="M77" s="325"/>
    </row>
    <row r="78" spans="1:13" ht="15.75">
      <c r="A78" s="293">
        <v>5</v>
      </c>
      <c r="B78" s="294" t="s">
        <v>56</v>
      </c>
      <c r="C78" s="326">
        <v>741000</v>
      </c>
      <c r="D78" s="326" t="s">
        <v>91</v>
      </c>
      <c r="E78" s="326">
        <v>415</v>
      </c>
      <c r="F78" s="326">
        <f>E78*C78</f>
        <v>307515000</v>
      </c>
      <c r="G78" s="326">
        <v>2374</v>
      </c>
      <c r="H78" s="326">
        <f>G78*C78</f>
        <v>1759134000</v>
      </c>
      <c r="I78" s="326">
        <v>415</v>
      </c>
      <c r="J78" s="326">
        <f>I78*C78</f>
        <v>307515000</v>
      </c>
      <c r="K78" s="326">
        <v>113</v>
      </c>
      <c r="L78" s="326">
        <f>K78*C78</f>
        <v>83733000</v>
      </c>
      <c r="M78" s="325"/>
    </row>
    <row r="79" spans="1:13" ht="15.75">
      <c r="A79" s="293">
        <v>6</v>
      </c>
      <c r="B79" s="294" t="s">
        <v>263</v>
      </c>
      <c r="C79" s="326">
        <v>436800</v>
      </c>
      <c r="D79" s="326" t="s">
        <v>95</v>
      </c>
      <c r="E79" s="326">
        <v>8</v>
      </c>
      <c r="F79" s="326">
        <f>E79*C79</f>
        <v>3494400</v>
      </c>
      <c r="G79" s="326">
        <v>133</v>
      </c>
      <c r="H79" s="326">
        <f>G79*C79</f>
        <v>58094400</v>
      </c>
      <c r="I79" s="326">
        <v>21</v>
      </c>
      <c r="J79" s="326">
        <f>I79*C79</f>
        <v>9172800</v>
      </c>
      <c r="K79" s="326"/>
      <c r="L79" s="326"/>
      <c r="M79" s="325"/>
    </row>
    <row r="80" spans="1:13" ht="15.75">
      <c r="A80" s="293">
        <v>7</v>
      </c>
      <c r="B80" s="294" t="s">
        <v>57</v>
      </c>
      <c r="C80" s="326">
        <v>240000</v>
      </c>
      <c r="D80" s="326" t="s">
        <v>91</v>
      </c>
      <c r="E80" s="326">
        <v>3267</v>
      </c>
      <c r="F80" s="326">
        <f>E80*C80</f>
        <v>784080000</v>
      </c>
      <c r="G80" s="326">
        <v>8508</v>
      </c>
      <c r="H80" s="326">
        <f>G80*C80</f>
        <v>2041920000</v>
      </c>
      <c r="I80" s="326">
        <v>150</v>
      </c>
      <c r="J80" s="326">
        <f>I80*C80</f>
        <v>36000000</v>
      </c>
      <c r="K80" s="326"/>
      <c r="L80" s="326"/>
      <c r="M80" s="325"/>
    </row>
    <row r="81" spans="1:13" ht="15.75">
      <c r="A81" s="293">
        <v>8</v>
      </c>
      <c r="B81" s="294" t="s">
        <v>108</v>
      </c>
      <c r="C81" s="326">
        <v>20000</v>
      </c>
      <c r="D81" s="326" t="s">
        <v>94</v>
      </c>
      <c r="E81" s="326">
        <v>9850</v>
      </c>
      <c r="F81" s="326">
        <f>E81*C81</f>
        <v>197000000</v>
      </c>
      <c r="G81" s="326">
        <v>15500</v>
      </c>
      <c r="H81" s="326">
        <f>G81*C81</f>
        <v>310000000</v>
      </c>
      <c r="I81" s="326">
        <v>10000</v>
      </c>
      <c r="J81" s="326">
        <f>I81*C81</f>
        <v>200000000</v>
      </c>
      <c r="K81" s="326">
        <v>9500</v>
      </c>
      <c r="L81" s="326">
        <f>K81*C81</f>
        <v>190000000</v>
      </c>
      <c r="M81" s="325"/>
    </row>
    <row r="82" spans="1:13" ht="15.75">
      <c r="A82" s="293">
        <v>9</v>
      </c>
      <c r="B82" s="294" t="s">
        <v>100</v>
      </c>
      <c r="C82" s="326">
        <v>4500000</v>
      </c>
      <c r="D82" s="326" t="s">
        <v>101</v>
      </c>
      <c r="E82" s="326">
        <v>213</v>
      </c>
      <c r="F82" s="326">
        <f>E82*C82</f>
        <v>958500000</v>
      </c>
      <c r="G82" s="326">
        <v>36</v>
      </c>
      <c r="H82" s="326">
        <f>G82*C82</f>
        <v>162000000</v>
      </c>
      <c r="I82" s="326">
        <v>41</v>
      </c>
      <c r="J82" s="326">
        <f>I82*C82</f>
        <v>184500000</v>
      </c>
      <c r="K82" s="326">
        <v>43</v>
      </c>
      <c r="L82" s="326">
        <f>K82*C82</f>
        <v>193500000</v>
      </c>
      <c r="M82" s="325"/>
    </row>
    <row r="83" spans="1:13" s="319" customFormat="1" ht="15.75">
      <c r="A83" s="33" t="s">
        <v>16</v>
      </c>
      <c r="B83" s="36" t="s">
        <v>58</v>
      </c>
      <c r="C83" s="322"/>
      <c r="D83" s="322"/>
      <c r="E83" s="322"/>
      <c r="F83" s="322">
        <f>F84+F85+F86+F87+F88+F89</f>
        <v>13128280000</v>
      </c>
      <c r="G83" s="322"/>
      <c r="H83" s="322">
        <f>H84+H85+H86+H87+H88+H89</f>
        <v>38542519000</v>
      </c>
      <c r="I83" s="322"/>
      <c r="J83" s="322">
        <f>J84+J85+J86+J87+J88+J89</f>
        <v>25694850000</v>
      </c>
      <c r="K83" s="322"/>
      <c r="L83" s="322">
        <f>L84+L85+L86+L87+L88+L89</f>
        <v>16515540000</v>
      </c>
      <c r="M83" s="323">
        <f>SUM(F83:L83)</f>
        <v>93881189000</v>
      </c>
    </row>
    <row r="84" spans="1:13" ht="15.75">
      <c r="A84" s="293">
        <v>1</v>
      </c>
      <c r="B84" s="294" t="s">
        <v>59</v>
      </c>
      <c r="C84" s="326">
        <v>7000</v>
      </c>
      <c r="D84" s="326" t="s">
        <v>91</v>
      </c>
      <c r="E84" s="326">
        <f>E68</f>
        <v>432140</v>
      </c>
      <c r="F84" s="326">
        <f>E84*C84</f>
        <v>3024980000</v>
      </c>
      <c r="G84" s="326">
        <f>G68</f>
        <v>802287</v>
      </c>
      <c r="H84" s="326">
        <f>G84*C84</f>
        <v>5616009000</v>
      </c>
      <c r="I84" s="326">
        <f>I68</f>
        <v>370050</v>
      </c>
      <c r="J84" s="326">
        <f>I84*C84</f>
        <v>2590350000</v>
      </c>
      <c r="K84" s="326">
        <f>K68</f>
        <v>213980</v>
      </c>
      <c r="L84" s="326">
        <f>K84*C84</f>
        <v>1497860000</v>
      </c>
      <c r="M84" s="325"/>
    </row>
    <row r="85" spans="1:13" ht="15.75">
      <c r="A85" s="293">
        <v>2</v>
      </c>
      <c r="B85" s="294" t="s">
        <v>107</v>
      </c>
      <c r="C85" s="326">
        <v>7000</v>
      </c>
      <c r="D85" s="326" t="s">
        <v>91</v>
      </c>
      <c r="E85" s="326">
        <f>E69</f>
        <v>582900</v>
      </c>
      <c r="F85" s="326">
        <f>E85*C85</f>
        <v>4080300000</v>
      </c>
      <c r="G85" s="326">
        <f>G69</f>
        <v>404430</v>
      </c>
      <c r="H85" s="326">
        <f>G85*C85</f>
        <v>2831010000</v>
      </c>
      <c r="I85" s="326">
        <f>I69</f>
        <v>123000</v>
      </c>
      <c r="J85" s="326">
        <f>I85*C85</f>
        <v>861000000</v>
      </c>
      <c r="K85" s="326">
        <f>K69</f>
        <v>82240</v>
      </c>
      <c r="L85" s="326">
        <f>K85*C85</f>
        <v>575680000</v>
      </c>
      <c r="M85" s="325"/>
    </row>
    <row r="86" spans="1:13" ht="15.75">
      <c r="A86" s="293">
        <v>3</v>
      </c>
      <c r="B86" s="294" t="s">
        <v>60</v>
      </c>
      <c r="C86" s="326">
        <v>466000</v>
      </c>
      <c r="D86" s="326" t="s">
        <v>93</v>
      </c>
      <c r="E86" s="326"/>
      <c r="F86" s="326"/>
      <c r="G86" s="326">
        <v>1000</v>
      </c>
      <c r="H86" s="326">
        <f>G86*C86</f>
        <v>466000000</v>
      </c>
      <c r="I86" s="326"/>
      <c r="J86" s="326"/>
      <c r="K86" s="326"/>
      <c r="L86" s="326"/>
      <c r="M86" s="325"/>
    </row>
    <row r="87" spans="1:13" s="319" customFormat="1" ht="15.75">
      <c r="A87" s="293">
        <v>4</v>
      </c>
      <c r="B87" s="294" t="s">
        <v>61</v>
      </c>
      <c r="C87" s="326">
        <v>10000</v>
      </c>
      <c r="D87" s="326" t="s">
        <v>93</v>
      </c>
      <c r="E87" s="326">
        <v>200</v>
      </c>
      <c r="F87" s="326">
        <f>E87*C87</f>
        <v>2000000</v>
      </c>
      <c r="G87" s="326">
        <v>400</v>
      </c>
      <c r="H87" s="326">
        <f>G87*C87</f>
        <v>4000000</v>
      </c>
      <c r="I87" s="326">
        <v>200</v>
      </c>
      <c r="J87" s="326">
        <f>I87*C87</f>
        <v>2000000</v>
      </c>
      <c r="K87" s="326">
        <v>200</v>
      </c>
      <c r="L87" s="326">
        <f>K87*C87</f>
        <v>2000000</v>
      </c>
      <c r="M87" s="323"/>
    </row>
    <row r="88" spans="1:13" ht="15.75">
      <c r="A88" s="293">
        <v>5</v>
      </c>
      <c r="B88" s="294" t="s">
        <v>62</v>
      </c>
      <c r="C88" s="326">
        <v>850000</v>
      </c>
      <c r="D88" s="326" t="s">
        <v>93</v>
      </c>
      <c r="E88" s="326">
        <v>600</v>
      </c>
      <c r="F88" s="326">
        <f>E88*C88</f>
        <v>510000000</v>
      </c>
      <c r="G88" s="326">
        <v>650</v>
      </c>
      <c r="H88" s="326">
        <f>G88*C88</f>
        <v>552500000</v>
      </c>
      <c r="I88" s="326">
        <v>2950</v>
      </c>
      <c r="J88" s="326">
        <f>I88*C88</f>
        <v>2507500000</v>
      </c>
      <c r="K88" s="326">
        <f>7600-I88-G88-E88</f>
        <v>3400</v>
      </c>
      <c r="L88" s="326">
        <f>K88*C88</f>
        <v>2890000000</v>
      </c>
      <c r="M88" s="325"/>
    </row>
    <row r="89" spans="1:13" ht="31.5">
      <c r="A89" s="293">
        <v>6</v>
      </c>
      <c r="B89" s="294" t="s">
        <v>99</v>
      </c>
      <c r="C89" s="326">
        <v>22000</v>
      </c>
      <c r="D89" s="326" t="s">
        <v>93</v>
      </c>
      <c r="E89" s="326">
        <f>E71/10000*2000*75/100</f>
        <v>250500</v>
      </c>
      <c r="F89" s="326">
        <f>E89*C89</f>
        <v>5511000000</v>
      </c>
      <c r="G89" s="326">
        <f>G71/10000*2000*75/100</f>
        <v>1321500</v>
      </c>
      <c r="H89" s="326">
        <f>G89*C89</f>
        <v>29073000000</v>
      </c>
      <c r="I89" s="326">
        <f>I71/10000*2000*75/100</f>
        <v>897000</v>
      </c>
      <c r="J89" s="326">
        <f>I89*C89</f>
        <v>19734000000</v>
      </c>
      <c r="K89" s="326">
        <f>K71/10000*2000*75/100</f>
        <v>525000</v>
      </c>
      <c r="L89" s="326">
        <f>K89*C89</f>
        <v>11550000000</v>
      </c>
      <c r="M89" s="325"/>
    </row>
    <row r="90" spans="1:13" ht="31.5">
      <c r="A90" s="33" t="s">
        <v>33</v>
      </c>
      <c r="B90" s="36" t="s">
        <v>253</v>
      </c>
      <c r="C90" s="326">
        <v>5000</v>
      </c>
      <c r="D90" s="326" t="s">
        <v>91</v>
      </c>
      <c r="E90" s="326">
        <f>26*10000</f>
        <v>260000</v>
      </c>
      <c r="F90" s="327">
        <f>E90*C90</f>
        <v>1300000000</v>
      </c>
      <c r="G90" s="326"/>
      <c r="H90" s="326"/>
      <c r="I90" s="326"/>
      <c r="J90" s="326"/>
      <c r="K90" s="326"/>
      <c r="L90" s="326"/>
      <c r="M90" s="323">
        <f>SUM(F90:L90)</f>
        <v>1300000000</v>
      </c>
    </row>
    <row r="91" spans="1:13" ht="15.75">
      <c r="A91" s="33" t="s">
        <v>39</v>
      </c>
      <c r="B91" s="36" t="s">
        <v>254</v>
      </c>
      <c r="C91" s="326">
        <v>5000</v>
      </c>
      <c r="D91" s="326" t="s">
        <v>91</v>
      </c>
      <c r="E91" s="326">
        <f>10*10000</f>
        <v>100000</v>
      </c>
      <c r="F91" s="327">
        <f>E91*C91</f>
        <v>500000000</v>
      </c>
      <c r="G91" s="326"/>
      <c r="H91" s="326"/>
      <c r="I91" s="326"/>
      <c r="J91" s="326"/>
      <c r="K91" s="326"/>
      <c r="L91" s="326"/>
      <c r="M91" s="323">
        <f>SUM(F91:L91)</f>
        <v>500000000</v>
      </c>
    </row>
    <row r="92" spans="1:13" ht="15.75">
      <c r="A92" s="33" t="s">
        <v>41</v>
      </c>
      <c r="B92" s="36" t="s">
        <v>255</v>
      </c>
      <c r="C92" s="326">
        <v>5000</v>
      </c>
      <c r="D92" s="326" t="s">
        <v>91</v>
      </c>
      <c r="E92" s="326">
        <f>10000*50</f>
        <v>500000</v>
      </c>
      <c r="F92" s="327">
        <f>E92*C92</f>
        <v>2500000000</v>
      </c>
      <c r="G92" s="326"/>
      <c r="H92" s="326"/>
      <c r="I92" s="326"/>
      <c r="J92" s="326"/>
      <c r="K92" s="326"/>
      <c r="L92" s="326"/>
      <c r="M92" s="323">
        <f>SUM(F92:L92)</f>
        <v>2500000000</v>
      </c>
    </row>
    <row r="93" spans="1:13" ht="15">
      <c r="A93" s="325"/>
      <c r="B93" s="323" t="s">
        <v>267</v>
      </c>
      <c r="C93" s="325"/>
      <c r="D93" s="325"/>
      <c r="E93" s="325"/>
      <c r="F93" s="323"/>
      <c r="G93" s="325"/>
      <c r="H93" s="323"/>
      <c r="I93" s="325"/>
      <c r="J93" s="323"/>
      <c r="K93" s="325"/>
      <c r="L93" s="323"/>
      <c r="M93" s="323">
        <f>SUM(M66:M92)</f>
        <v>446401871100</v>
      </c>
    </row>
    <row r="94" spans="1:12" ht="15">
      <c r="A94" s="380" t="s">
        <v>276</v>
      </c>
      <c r="B94" s="380"/>
      <c r="C94" s="380"/>
      <c r="D94" s="380"/>
      <c r="E94" s="380"/>
      <c r="F94" s="380"/>
      <c r="G94" s="380"/>
      <c r="H94" s="380"/>
      <c r="I94" s="380"/>
      <c r="J94" s="380"/>
      <c r="K94" s="380"/>
      <c r="L94" s="380"/>
    </row>
    <row r="95" spans="1:12" ht="15">
      <c r="A95" s="380"/>
      <c r="B95" s="380"/>
      <c r="C95" s="380"/>
      <c r="D95" s="380"/>
      <c r="E95" s="380"/>
      <c r="F95" s="380"/>
      <c r="G95" s="380"/>
      <c r="H95" s="380"/>
      <c r="I95" s="380"/>
      <c r="J95" s="380"/>
      <c r="K95" s="380"/>
      <c r="L95" s="380"/>
    </row>
    <row r="96" spans="1:13" ht="15">
      <c r="A96" s="381" t="s">
        <v>0</v>
      </c>
      <c r="B96" s="382" t="s">
        <v>46</v>
      </c>
      <c r="C96" s="322"/>
      <c r="D96" s="322"/>
      <c r="E96" s="383" t="s">
        <v>98</v>
      </c>
      <c r="F96" s="383"/>
      <c r="G96" s="383" t="s">
        <v>102</v>
      </c>
      <c r="H96" s="383"/>
      <c r="I96" s="383" t="s">
        <v>103</v>
      </c>
      <c r="J96" s="383"/>
      <c r="K96" s="383" t="s">
        <v>97</v>
      </c>
      <c r="L96" s="383"/>
      <c r="M96" s="323" t="s">
        <v>18</v>
      </c>
    </row>
    <row r="97" spans="1:13" ht="28.5">
      <c r="A97" s="381"/>
      <c r="B97" s="382"/>
      <c r="C97" s="322" t="s">
        <v>78</v>
      </c>
      <c r="D97" s="322" t="s">
        <v>22</v>
      </c>
      <c r="E97" s="322" t="s">
        <v>77</v>
      </c>
      <c r="F97" s="322" t="s">
        <v>79</v>
      </c>
      <c r="G97" s="322" t="s">
        <v>77</v>
      </c>
      <c r="H97" s="322" t="s">
        <v>79</v>
      </c>
      <c r="I97" s="322" t="s">
        <v>77</v>
      </c>
      <c r="J97" s="322" t="s">
        <v>79</v>
      </c>
      <c r="K97" s="322" t="s">
        <v>77</v>
      </c>
      <c r="L97" s="322" t="s">
        <v>79</v>
      </c>
      <c r="M97" s="325"/>
    </row>
    <row r="98" spans="1:13" ht="15.75">
      <c r="A98" s="297" t="s">
        <v>42</v>
      </c>
      <c r="B98" s="36" t="s">
        <v>63</v>
      </c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5"/>
    </row>
    <row r="99" spans="1:13" ht="15.75">
      <c r="A99" s="297" t="s">
        <v>3</v>
      </c>
      <c r="B99" s="36" t="s">
        <v>64</v>
      </c>
      <c r="C99" s="322"/>
      <c r="D99" s="322"/>
      <c r="E99" s="322"/>
      <c r="F99" s="322">
        <f>F100+F101+F102+F103+F104</f>
        <v>7103599000</v>
      </c>
      <c r="G99" s="322"/>
      <c r="H99" s="322">
        <f>H100+H101+H102+H103+H104</f>
        <v>14023934200</v>
      </c>
      <c r="I99" s="322"/>
      <c r="J99" s="322">
        <f>J100+J101+J102+J103+J104</f>
        <v>7316532000</v>
      </c>
      <c r="K99" s="322"/>
      <c r="L99" s="322">
        <f>L100+L101+L102+L103+L104</f>
        <v>8142026000</v>
      </c>
      <c r="M99" s="323">
        <f>SUM(F99:L99)</f>
        <v>36586091200</v>
      </c>
    </row>
    <row r="100" spans="1:13" ht="31.5">
      <c r="A100" s="298">
        <v>1</v>
      </c>
      <c r="B100" s="35" t="s">
        <v>96</v>
      </c>
      <c r="C100" s="326">
        <v>12000</v>
      </c>
      <c r="D100" s="326" t="s">
        <v>81</v>
      </c>
      <c r="E100" s="326">
        <v>396</v>
      </c>
      <c r="F100" s="326">
        <f>E100*C100*30*48</f>
        <v>6842880000</v>
      </c>
      <c r="G100" s="326">
        <v>784</v>
      </c>
      <c r="H100" s="326">
        <f>G100*C100*30*48</f>
        <v>13547520000</v>
      </c>
      <c r="I100" s="326">
        <v>409</v>
      </c>
      <c r="J100" s="326">
        <f>I100*C100*30*48</f>
        <v>7067520000</v>
      </c>
      <c r="K100" s="326">
        <v>455</v>
      </c>
      <c r="L100" s="326">
        <f>K100*C100*30*48</f>
        <v>7862400000</v>
      </c>
      <c r="M100" s="325"/>
    </row>
    <row r="101" spans="1:13" ht="15.75">
      <c r="A101" s="298">
        <v>2</v>
      </c>
      <c r="B101" s="35" t="s">
        <v>65</v>
      </c>
      <c r="C101" s="326">
        <v>100000</v>
      </c>
      <c r="D101" s="326"/>
      <c r="E101" s="326">
        <v>396</v>
      </c>
      <c r="F101" s="326">
        <f>E101*C101</f>
        <v>39600000</v>
      </c>
      <c r="G101" s="326">
        <v>784</v>
      </c>
      <c r="H101" s="326">
        <f>G101*C101</f>
        <v>78400000</v>
      </c>
      <c r="I101" s="326">
        <v>409</v>
      </c>
      <c r="J101" s="326">
        <f>I101*C101</f>
        <v>40900000</v>
      </c>
      <c r="K101" s="326">
        <v>455</v>
      </c>
      <c r="L101" s="326">
        <f>K101*C101</f>
        <v>45500000</v>
      </c>
      <c r="M101" s="325"/>
    </row>
    <row r="102" spans="1:13" ht="15.75">
      <c r="A102" s="298">
        <v>3</v>
      </c>
      <c r="B102" s="35" t="s">
        <v>66</v>
      </c>
      <c r="C102" s="326">
        <v>700000</v>
      </c>
      <c r="D102" s="326" t="s">
        <v>92</v>
      </c>
      <c r="E102" s="326">
        <v>85</v>
      </c>
      <c r="F102" s="326">
        <f>E102*C102</f>
        <v>59500000</v>
      </c>
      <c r="G102" s="326">
        <v>153</v>
      </c>
      <c r="H102" s="326">
        <f>G102*C102</f>
        <v>107100000</v>
      </c>
      <c r="I102" s="326">
        <v>80</v>
      </c>
      <c r="J102" s="326">
        <f>I102*C102</f>
        <v>56000000</v>
      </c>
      <c r="K102" s="326">
        <v>90</v>
      </c>
      <c r="L102" s="326">
        <f>K102*C102</f>
        <v>63000000</v>
      </c>
      <c r="M102" s="325"/>
    </row>
    <row r="103" spans="1:13" ht="31.5">
      <c r="A103" s="298">
        <v>4</v>
      </c>
      <c r="B103" s="35" t="s">
        <v>82</v>
      </c>
      <c r="C103" s="326">
        <v>1453</v>
      </c>
      <c r="D103" s="326" t="s">
        <v>80</v>
      </c>
      <c r="E103" s="326">
        <v>85</v>
      </c>
      <c r="F103" s="326">
        <f>E103*C103*50*12</f>
        <v>74103000</v>
      </c>
      <c r="G103" s="326">
        <v>153</v>
      </c>
      <c r="H103" s="326">
        <f>G103*C103*50*12</f>
        <v>133385400</v>
      </c>
      <c r="I103" s="326">
        <v>80</v>
      </c>
      <c r="J103" s="326">
        <f>I103*C103*50*12</f>
        <v>69744000</v>
      </c>
      <c r="K103" s="326">
        <v>90</v>
      </c>
      <c r="L103" s="326">
        <f>K103*C103*50*12</f>
        <v>78462000</v>
      </c>
      <c r="M103" s="325"/>
    </row>
    <row r="104" spans="1:13" ht="15.75">
      <c r="A104" s="298">
        <v>5</v>
      </c>
      <c r="B104" s="35" t="s">
        <v>83</v>
      </c>
      <c r="C104" s="326">
        <v>17160</v>
      </c>
      <c r="D104" s="326" t="s">
        <v>84</v>
      </c>
      <c r="E104" s="326">
        <v>85</v>
      </c>
      <c r="F104" s="326">
        <f>E104*C104*5*12</f>
        <v>87516000</v>
      </c>
      <c r="G104" s="326">
        <v>153</v>
      </c>
      <c r="H104" s="326">
        <f>G104*C104*5*12</f>
        <v>157528800</v>
      </c>
      <c r="I104" s="326">
        <v>80</v>
      </c>
      <c r="J104" s="326">
        <f>I104*C104*5*12</f>
        <v>82368000</v>
      </c>
      <c r="K104" s="326">
        <v>90</v>
      </c>
      <c r="L104" s="326">
        <f>K104*C104*5*12</f>
        <v>92664000</v>
      </c>
      <c r="M104" s="325"/>
    </row>
    <row r="105" spans="1:13" ht="15.75">
      <c r="A105" s="297" t="s">
        <v>12</v>
      </c>
      <c r="B105" s="36" t="s">
        <v>67</v>
      </c>
      <c r="C105" s="322"/>
      <c r="D105" s="322"/>
      <c r="E105" s="322"/>
      <c r="F105" s="322">
        <f>F107+F106</f>
        <v>1439400000</v>
      </c>
      <c r="G105" s="322"/>
      <c r="H105" s="322">
        <f>H107+H106</f>
        <v>2570400000</v>
      </c>
      <c r="I105" s="322"/>
      <c r="J105" s="322">
        <f>J107+J106</f>
        <v>1344000000</v>
      </c>
      <c r="K105" s="322"/>
      <c r="L105" s="322">
        <f>L107+L106</f>
        <v>1512000000</v>
      </c>
      <c r="M105" s="323">
        <f>SUM(F105:L105)</f>
        <v>6865800000</v>
      </c>
    </row>
    <row r="106" spans="1:13" ht="15.75">
      <c r="A106" s="298">
        <v>1</v>
      </c>
      <c r="B106" s="328" t="s">
        <v>250</v>
      </c>
      <c r="C106" s="326">
        <f>5600000*3</f>
        <v>16800000</v>
      </c>
      <c r="D106" s="326" t="s">
        <v>90</v>
      </c>
      <c r="E106" s="326">
        <v>85</v>
      </c>
      <c r="F106" s="326">
        <f>C106*E106</f>
        <v>1428000000</v>
      </c>
      <c r="G106" s="326">
        <v>153</v>
      </c>
      <c r="H106" s="326">
        <f>G106*C106</f>
        <v>2570400000</v>
      </c>
      <c r="I106" s="326">
        <v>80</v>
      </c>
      <c r="J106" s="326">
        <f>I106*C106</f>
        <v>1344000000</v>
      </c>
      <c r="K106" s="326">
        <v>90</v>
      </c>
      <c r="L106" s="326">
        <f>K106*C106</f>
        <v>1512000000</v>
      </c>
      <c r="M106" s="325"/>
    </row>
    <row r="107" spans="1:13" ht="15.75">
      <c r="A107" s="298">
        <v>2</v>
      </c>
      <c r="B107" s="35" t="s">
        <v>68</v>
      </c>
      <c r="C107" s="326">
        <v>15000000</v>
      </c>
      <c r="D107" s="326" t="s">
        <v>85</v>
      </c>
      <c r="E107" s="329">
        <v>0.76</v>
      </c>
      <c r="F107" s="326">
        <f>E107*C107</f>
        <v>11400000</v>
      </c>
      <c r="G107" s="326"/>
      <c r="H107" s="326"/>
      <c r="I107" s="326"/>
      <c r="J107" s="326"/>
      <c r="K107" s="326"/>
      <c r="L107" s="326"/>
      <c r="M107" s="325"/>
    </row>
    <row r="108" spans="1:13" ht="15.75">
      <c r="A108" s="297" t="s">
        <v>16</v>
      </c>
      <c r="B108" s="36" t="s">
        <v>69</v>
      </c>
      <c r="C108" s="322"/>
      <c r="D108" s="322"/>
      <c r="E108" s="322"/>
      <c r="F108" s="322">
        <f>SUM(F109:F117)</f>
        <v>12394550000</v>
      </c>
      <c r="G108" s="322"/>
      <c r="H108" s="322">
        <f>SUM(H109:H117)</f>
        <v>21292750000</v>
      </c>
      <c r="I108" s="322"/>
      <c r="J108" s="322">
        <f>SUM(J109:J117)</f>
        <v>11261325000</v>
      </c>
      <c r="K108" s="322"/>
      <c r="L108" s="322">
        <f>SUM(L109:L117)</f>
        <v>12559375000</v>
      </c>
      <c r="M108" s="323">
        <f>SUM(F108:L108)</f>
        <v>57508000000</v>
      </c>
    </row>
    <row r="109" spans="1:13" ht="30">
      <c r="A109" s="297"/>
      <c r="B109" s="330" t="s">
        <v>243</v>
      </c>
      <c r="C109" s="322">
        <f>500000*5</f>
        <v>2500000</v>
      </c>
      <c r="D109" s="326" t="s">
        <v>251</v>
      </c>
      <c r="E109" s="322">
        <f>E110</f>
        <v>85</v>
      </c>
      <c r="F109" s="326">
        <f>E109*C109</f>
        <v>212500000</v>
      </c>
      <c r="G109" s="322">
        <f>G110</f>
        <v>153</v>
      </c>
      <c r="H109" s="326">
        <f>G109*C109</f>
        <v>382500000</v>
      </c>
      <c r="I109" s="322">
        <f>I110</f>
        <v>80</v>
      </c>
      <c r="J109" s="326">
        <f>I109*C109</f>
        <v>200000000</v>
      </c>
      <c r="K109" s="322">
        <f>K110</f>
        <v>90</v>
      </c>
      <c r="L109" s="326">
        <f>K109*C109</f>
        <v>225000000</v>
      </c>
      <c r="M109" s="325"/>
    </row>
    <row r="110" spans="1:13" ht="31.5">
      <c r="A110" s="298">
        <v>1</v>
      </c>
      <c r="B110" s="35" t="s">
        <v>70</v>
      </c>
      <c r="C110" s="326">
        <v>1000000</v>
      </c>
      <c r="D110" s="326" t="s">
        <v>90</v>
      </c>
      <c r="E110" s="326">
        <v>85</v>
      </c>
      <c r="F110" s="326">
        <f>E110*C110</f>
        <v>85000000</v>
      </c>
      <c r="G110" s="326">
        <v>153</v>
      </c>
      <c r="H110" s="326">
        <f>G110*C110</f>
        <v>153000000</v>
      </c>
      <c r="I110" s="326">
        <v>80</v>
      </c>
      <c r="J110" s="326">
        <f>I110*C110</f>
        <v>80000000</v>
      </c>
      <c r="K110" s="326">
        <v>90</v>
      </c>
      <c r="L110" s="326">
        <f>K110*C110</f>
        <v>90000000</v>
      </c>
      <c r="M110" s="325"/>
    </row>
    <row r="111" spans="1:13" ht="31.5">
      <c r="A111" s="298">
        <v>2</v>
      </c>
      <c r="B111" s="35" t="s">
        <v>71</v>
      </c>
      <c r="C111" s="326">
        <v>5000000</v>
      </c>
      <c r="D111" s="326" t="s">
        <v>90</v>
      </c>
      <c r="E111" s="326">
        <v>85</v>
      </c>
      <c r="F111" s="326">
        <f>E111*C111</f>
        <v>425000000</v>
      </c>
      <c r="G111" s="326">
        <v>153</v>
      </c>
      <c r="H111" s="326">
        <f>G111*C111</f>
        <v>765000000</v>
      </c>
      <c r="I111" s="326">
        <v>80</v>
      </c>
      <c r="J111" s="326">
        <f>I111*C111</f>
        <v>400000000</v>
      </c>
      <c r="K111" s="326">
        <v>90</v>
      </c>
      <c r="L111" s="326">
        <f>K111*C111</f>
        <v>450000000</v>
      </c>
      <c r="M111" s="325"/>
    </row>
    <row r="112" spans="1:13" ht="15.75">
      <c r="A112" s="298">
        <v>3</v>
      </c>
      <c r="B112" s="35" t="s">
        <v>72</v>
      </c>
      <c r="C112" s="326">
        <v>2000000</v>
      </c>
      <c r="D112" s="326" t="s">
        <v>86</v>
      </c>
      <c r="E112" s="326">
        <v>213</v>
      </c>
      <c r="F112" s="326">
        <f>E112*C112</f>
        <v>426000000</v>
      </c>
      <c r="G112" s="326">
        <v>36</v>
      </c>
      <c r="H112" s="326">
        <f>G112*C112</f>
        <v>72000000</v>
      </c>
      <c r="I112" s="326">
        <v>41</v>
      </c>
      <c r="J112" s="326">
        <f>I112*C112</f>
        <v>82000000</v>
      </c>
      <c r="K112" s="326">
        <v>43</v>
      </c>
      <c r="L112" s="326">
        <f>K112*C112</f>
        <v>86000000</v>
      </c>
      <c r="M112" s="325"/>
    </row>
    <row r="113" spans="1:13" ht="15.75">
      <c r="A113" s="298"/>
      <c r="B113" s="330" t="s">
        <v>244</v>
      </c>
      <c r="C113" s="326">
        <v>4500000</v>
      </c>
      <c r="D113" s="326" t="s">
        <v>86</v>
      </c>
      <c r="E113" s="326">
        <f>E112</f>
        <v>213</v>
      </c>
      <c r="F113" s="326">
        <f>E113*C113</f>
        <v>958500000</v>
      </c>
      <c r="G113" s="326">
        <f>G112</f>
        <v>36</v>
      </c>
      <c r="H113" s="326">
        <f>G113*C113</f>
        <v>162000000</v>
      </c>
      <c r="I113" s="326">
        <f>I112</f>
        <v>41</v>
      </c>
      <c r="J113" s="326">
        <f>I113*C113</f>
        <v>184500000</v>
      </c>
      <c r="K113" s="326">
        <f>K112</f>
        <v>43</v>
      </c>
      <c r="L113" s="326">
        <f>K113*C113</f>
        <v>193500000</v>
      </c>
      <c r="M113" s="325"/>
    </row>
    <row r="114" spans="1:13" ht="15.75">
      <c r="A114" s="298">
        <v>4</v>
      </c>
      <c r="B114" s="35" t="s">
        <v>73</v>
      </c>
      <c r="C114" s="326">
        <v>5000000</v>
      </c>
      <c r="D114" s="326" t="s">
        <v>90</v>
      </c>
      <c r="E114" s="326">
        <v>85</v>
      </c>
      <c r="F114" s="326">
        <f>E114*C114</f>
        <v>425000000</v>
      </c>
      <c r="G114" s="326">
        <v>153</v>
      </c>
      <c r="H114" s="326">
        <f>G114*C114</f>
        <v>765000000</v>
      </c>
      <c r="I114" s="326">
        <v>80</v>
      </c>
      <c r="J114" s="326">
        <f>I114*C114</f>
        <v>400000000</v>
      </c>
      <c r="K114" s="326">
        <v>90</v>
      </c>
      <c r="L114" s="326">
        <f>K114*C114</f>
        <v>450000000</v>
      </c>
      <c r="M114" s="325"/>
    </row>
    <row r="115" spans="1:13" ht="31.5">
      <c r="A115" s="298">
        <v>5</v>
      </c>
      <c r="B115" s="35" t="s">
        <v>87</v>
      </c>
      <c r="C115" s="326">
        <v>3485000</v>
      </c>
      <c r="D115" s="326" t="s">
        <v>91</v>
      </c>
      <c r="E115" s="326">
        <f>15*85+5*311</f>
        <v>2830</v>
      </c>
      <c r="F115" s="326">
        <f>E115*C115</f>
        <v>9862550000</v>
      </c>
      <c r="G115" s="326">
        <f>15*153+5*(784-153)</f>
        <v>5450</v>
      </c>
      <c r="H115" s="326">
        <f>G115*C115</f>
        <v>18993250000</v>
      </c>
      <c r="I115" s="326">
        <f>15*80+5*(409-80)</f>
        <v>2845</v>
      </c>
      <c r="J115" s="326">
        <f>I115*C115</f>
        <v>9914825000</v>
      </c>
      <c r="K115" s="326">
        <f>15*90+5*(455-90)</f>
        <v>3175</v>
      </c>
      <c r="L115" s="326">
        <f>K115*C115</f>
        <v>11064875000</v>
      </c>
      <c r="M115" s="325"/>
    </row>
    <row r="116" spans="1:13" ht="30">
      <c r="A116" s="298"/>
      <c r="B116" s="294" t="s">
        <v>245</v>
      </c>
      <c r="C116" s="322">
        <f>80%*C78</f>
        <v>592800</v>
      </c>
      <c r="D116" s="326" t="s">
        <v>91</v>
      </c>
      <c r="E116" s="326" t="s">
        <v>246</v>
      </c>
      <c r="F116" s="326"/>
      <c r="G116" s="326"/>
      <c r="H116" s="326"/>
      <c r="I116" s="326"/>
      <c r="J116" s="326"/>
      <c r="K116" s="326"/>
      <c r="L116" s="326"/>
      <c r="M116" s="325"/>
    </row>
    <row r="117" spans="1:13" ht="30">
      <c r="A117" s="298"/>
      <c r="B117" s="328" t="s">
        <v>247</v>
      </c>
      <c r="C117" s="322">
        <v>5000000</v>
      </c>
      <c r="D117" s="326" t="s">
        <v>90</v>
      </c>
      <c r="E117" s="326" t="s">
        <v>246</v>
      </c>
      <c r="F117" s="326"/>
      <c r="G117" s="326"/>
      <c r="H117" s="326"/>
      <c r="I117" s="326"/>
      <c r="J117" s="326"/>
      <c r="K117" s="326"/>
      <c r="L117" s="326"/>
      <c r="M117" s="325"/>
    </row>
    <row r="118" spans="1:13" ht="15.75">
      <c r="A118" s="297" t="s">
        <v>111</v>
      </c>
      <c r="B118" s="36" t="s">
        <v>74</v>
      </c>
      <c r="C118" s="331"/>
      <c r="D118" s="331"/>
      <c r="E118" s="331"/>
      <c r="F118" s="331"/>
      <c r="G118" s="331"/>
      <c r="H118" s="331"/>
      <c r="I118" s="331"/>
      <c r="J118" s="331"/>
      <c r="K118" s="331"/>
      <c r="L118" s="331"/>
      <c r="M118" s="325"/>
    </row>
    <row r="119" spans="1:13" ht="15.75">
      <c r="A119" s="297" t="s">
        <v>3</v>
      </c>
      <c r="B119" s="36" t="s">
        <v>75</v>
      </c>
      <c r="C119" s="322"/>
      <c r="D119" s="322"/>
      <c r="E119" s="322"/>
      <c r="F119" s="322">
        <f>F120</f>
        <v>425000000</v>
      </c>
      <c r="G119" s="322"/>
      <c r="H119" s="322">
        <f>H120</f>
        <v>765000000</v>
      </c>
      <c r="I119" s="322"/>
      <c r="J119" s="322">
        <f>J120</f>
        <v>400000000</v>
      </c>
      <c r="K119" s="322"/>
      <c r="L119" s="322">
        <f>L120</f>
        <v>450000000</v>
      </c>
      <c r="M119" s="323">
        <f>SUM(F119:L119)</f>
        <v>2040000000</v>
      </c>
    </row>
    <row r="120" spans="1:13" ht="15.75">
      <c r="A120" s="298">
        <v>1</v>
      </c>
      <c r="B120" s="35" t="s">
        <v>89</v>
      </c>
      <c r="C120" s="326">
        <v>5000000</v>
      </c>
      <c r="D120" s="326" t="s">
        <v>90</v>
      </c>
      <c r="E120" s="326">
        <v>85</v>
      </c>
      <c r="F120" s="326">
        <f>E120*C120</f>
        <v>425000000</v>
      </c>
      <c r="G120" s="326">
        <v>153</v>
      </c>
      <c r="H120" s="326">
        <f>G120*C120</f>
        <v>765000000</v>
      </c>
      <c r="I120" s="326">
        <v>80</v>
      </c>
      <c r="J120" s="326">
        <f>I120*C120</f>
        <v>400000000</v>
      </c>
      <c r="K120" s="326">
        <v>90</v>
      </c>
      <c r="L120" s="326">
        <f>K120*C120</f>
        <v>450000000</v>
      </c>
      <c r="M120" s="325"/>
    </row>
    <row r="121" spans="1:13" ht="15.75">
      <c r="A121" s="297" t="s">
        <v>12</v>
      </c>
      <c r="B121" s="36" t="s">
        <v>88</v>
      </c>
      <c r="C121" s="322"/>
      <c r="D121" s="322"/>
      <c r="E121" s="322"/>
      <c r="F121" s="322">
        <f>F122</f>
        <v>850000000</v>
      </c>
      <c r="G121" s="322"/>
      <c r="H121" s="322">
        <f>H122</f>
        <v>1530000000</v>
      </c>
      <c r="I121" s="322"/>
      <c r="J121" s="322">
        <f>J122</f>
        <v>800000000</v>
      </c>
      <c r="K121" s="322"/>
      <c r="L121" s="322">
        <f>L122</f>
        <v>900000000</v>
      </c>
      <c r="M121" s="323">
        <f>SUM(F121:L121)</f>
        <v>4080000000</v>
      </c>
    </row>
    <row r="122" spans="1:13" ht="15.75">
      <c r="A122" s="298">
        <v>1</v>
      </c>
      <c r="B122" s="330" t="s">
        <v>248</v>
      </c>
      <c r="C122" s="326">
        <v>10000000</v>
      </c>
      <c r="D122" s="326" t="s">
        <v>90</v>
      </c>
      <c r="E122" s="326">
        <v>85</v>
      </c>
      <c r="F122" s="326">
        <f>E122*C122</f>
        <v>850000000</v>
      </c>
      <c r="G122" s="326">
        <v>153</v>
      </c>
      <c r="H122" s="326">
        <f>G122*C122</f>
        <v>1530000000</v>
      </c>
      <c r="I122" s="326">
        <v>80</v>
      </c>
      <c r="J122" s="326">
        <f>I122*C122</f>
        <v>800000000</v>
      </c>
      <c r="K122" s="326">
        <v>90</v>
      </c>
      <c r="L122" s="326">
        <f>K122*C122</f>
        <v>900000000</v>
      </c>
      <c r="M122" s="325"/>
    </row>
    <row r="123" spans="1:13" ht="15.75">
      <c r="A123" s="297" t="s">
        <v>16</v>
      </c>
      <c r="B123" s="36" t="s">
        <v>76</v>
      </c>
      <c r="C123" s="322"/>
      <c r="D123" s="322"/>
      <c r="E123" s="322"/>
      <c r="F123" s="322">
        <f>F124</f>
        <v>1275000000</v>
      </c>
      <c r="G123" s="322"/>
      <c r="H123" s="322">
        <f>H124</f>
        <v>1530000000</v>
      </c>
      <c r="I123" s="322"/>
      <c r="J123" s="322">
        <f>J124</f>
        <v>4400000000</v>
      </c>
      <c r="K123" s="322"/>
      <c r="L123" s="322">
        <f>L124</f>
        <v>4950000000</v>
      </c>
      <c r="M123" s="323">
        <f>SUM(F123:L123)</f>
        <v>12155000000</v>
      </c>
    </row>
    <row r="124" spans="1:13" ht="15.75">
      <c r="A124" s="333">
        <v>1</v>
      </c>
      <c r="B124" s="330" t="s">
        <v>249</v>
      </c>
      <c r="C124" s="326">
        <v>10000000</v>
      </c>
      <c r="D124" s="326" t="s">
        <v>85</v>
      </c>
      <c r="E124" s="332">
        <v>127.5</v>
      </c>
      <c r="F124" s="326">
        <f>E124*C124</f>
        <v>1275000000</v>
      </c>
      <c r="G124" s="326">
        <v>153</v>
      </c>
      <c r="H124" s="326">
        <f>G124*C124</f>
        <v>1530000000</v>
      </c>
      <c r="I124" s="326">
        <v>440</v>
      </c>
      <c r="J124" s="326">
        <f>I124*C124</f>
        <v>4400000000</v>
      </c>
      <c r="K124" s="326">
        <v>495</v>
      </c>
      <c r="L124" s="326">
        <f>K124*C124</f>
        <v>4950000000</v>
      </c>
      <c r="M124" s="325"/>
    </row>
    <row r="125" spans="1:13" ht="15">
      <c r="A125" s="334" t="s">
        <v>256</v>
      </c>
      <c r="B125" s="322" t="s">
        <v>252</v>
      </c>
      <c r="C125" s="322"/>
      <c r="D125" s="322"/>
      <c r="E125" s="322"/>
      <c r="F125" s="322">
        <f>(F123+F121+F119+F108+F105+F99)/E120</f>
        <v>276324105.88235295</v>
      </c>
      <c r="G125" s="322"/>
      <c r="H125" s="322">
        <f>(H123+H121+H119+H108+H105+H99)/G120</f>
        <v>272628001.3071895</v>
      </c>
      <c r="I125" s="322"/>
      <c r="J125" s="322">
        <f>(J123+J121+J119+J108+J105+J99)/I120</f>
        <v>319023212.5</v>
      </c>
      <c r="K125" s="322"/>
      <c r="L125" s="322">
        <f>(L123+L121+L119+L108+L105+L99)/K120</f>
        <v>316815566.6666667</v>
      </c>
      <c r="M125" s="335">
        <f>M126/(85+153+80+90)</f>
        <v>292242380.39215684</v>
      </c>
    </row>
    <row r="126" spans="1:13" ht="15">
      <c r="A126" s="320"/>
      <c r="B126" s="323" t="s">
        <v>268</v>
      </c>
      <c r="C126" s="325"/>
      <c r="D126" s="325"/>
      <c r="E126" s="325"/>
      <c r="F126" s="325"/>
      <c r="G126" s="325"/>
      <c r="H126" s="325"/>
      <c r="I126" s="325"/>
      <c r="J126" s="325"/>
      <c r="K126" s="325"/>
      <c r="L126" s="325"/>
      <c r="M126" s="323">
        <f>SUM(M99:M124)</f>
        <v>119234891200</v>
      </c>
    </row>
    <row r="127" spans="1:12" ht="15">
      <c r="A127" s="380" t="s">
        <v>277</v>
      </c>
      <c r="B127" s="380"/>
      <c r="C127" s="380"/>
      <c r="D127" s="380"/>
      <c r="E127" s="380"/>
      <c r="F127" s="380"/>
      <c r="G127" s="380"/>
      <c r="H127" s="380"/>
      <c r="I127" s="380"/>
      <c r="J127" s="380"/>
      <c r="K127" s="380"/>
      <c r="L127" s="380"/>
    </row>
    <row r="128" spans="1:12" ht="15">
      <c r="A128" s="380"/>
      <c r="B128" s="380"/>
      <c r="C128" s="380"/>
      <c r="D128" s="380"/>
      <c r="E128" s="380"/>
      <c r="F128" s="380"/>
      <c r="G128" s="380"/>
      <c r="H128" s="380"/>
      <c r="I128" s="380"/>
      <c r="J128" s="380"/>
      <c r="K128" s="380"/>
      <c r="L128" s="380"/>
    </row>
    <row r="129" spans="1:13" ht="15">
      <c r="A129" s="382" t="s">
        <v>0</v>
      </c>
      <c r="B129" s="382" t="s">
        <v>46</v>
      </c>
      <c r="C129" s="322"/>
      <c r="D129" s="322"/>
      <c r="E129" s="383" t="s">
        <v>98</v>
      </c>
      <c r="F129" s="383"/>
      <c r="G129" s="383" t="s">
        <v>102</v>
      </c>
      <c r="H129" s="383"/>
      <c r="I129" s="383" t="s">
        <v>103</v>
      </c>
      <c r="J129" s="383"/>
      <c r="K129" s="383" t="s">
        <v>97</v>
      </c>
      <c r="L129" s="383"/>
      <c r="M129" s="323" t="s">
        <v>18</v>
      </c>
    </row>
    <row r="130" spans="1:13" ht="28.5">
      <c r="A130" s="382"/>
      <c r="B130" s="382"/>
      <c r="C130" s="322" t="s">
        <v>78</v>
      </c>
      <c r="D130" s="322" t="s">
        <v>22</v>
      </c>
      <c r="E130" s="322" t="s">
        <v>77</v>
      </c>
      <c r="F130" s="322" t="s">
        <v>79</v>
      </c>
      <c r="G130" s="322" t="s">
        <v>77</v>
      </c>
      <c r="H130" s="322" t="s">
        <v>79</v>
      </c>
      <c r="I130" s="322" t="s">
        <v>77</v>
      </c>
      <c r="J130" s="322" t="s">
        <v>79</v>
      </c>
      <c r="K130" s="322" t="s">
        <v>77</v>
      </c>
      <c r="L130" s="322" t="s">
        <v>79</v>
      </c>
      <c r="M130" s="325"/>
    </row>
    <row r="131" spans="1:13" ht="15.75">
      <c r="A131" s="33" t="s">
        <v>42</v>
      </c>
      <c r="B131" s="36" t="s">
        <v>63</v>
      </c>
      <c r="C131" s="322"/>
      <c r="D131" s="322"/>
      <c r="E131" s="322"/>
      <c r="F131" s="322"/>
      <c r="G131" s="322"/>
      <c r="H131" s="322"/>
      <c r="I131" s="322"/>
      <c r="J131" s="322"/>
      <c r="K131" s="322"/>
      <c r="L131" s="322"/>
      <c r="M131" s="325"/>
    </row>
    <row r="132" spans="1:13" ht="15.75">
      <c r="A132" s="33" t="s">
        <v>3</v>
      </c>
      <c r="B132" s="36" t="s">
        <v>64</v>
      </c>
      <c r="C132" s="322"/>
      <c r="D132" s="322"/>
      <c r="E132" s="322"/>
      <c r="F132" s="322">
        <f>F133+F134+F135+F136+F137</f>
        <v>7103599000</v>
      </c>
      <c r="G132" s="322"/>
      <c r="H132" s="322">
        <f>H133+H134+H135+H136+H137</f>
        <v>14023934200</v>
      </c>
      <c r="I132" s="322"/>
      <c r="J132" s="322">
        <f>J133+J134+J135+J136+J137</f>
        <v>7316532000</v>
      </c>
      <c r="K132" s="322"/>
      <c r="L132" s="322">
        <f>L133+L134+L135+L136+L137</f>
        <v>8142026000</v>
      </c>
      <c r="M132" s="323">
        <f>SUM(F132:L132)</f>
        <v>36586091200</v>
      </c>
    </row>
    <row r="133" spans="1:13" ht="31.5">
      <c r="A133" s="32">
        <v>1</v>
      </c>
      <c r="B133" s="35" t="s">
        <v>96</v>
      </c>
      <c r="C133" s="326">
        <v>12000</v>
      </c>
      <c r="D133" s="326" t="s">
        <v>81</v>
      </c>
      <c r="E133" s="326">
        <v>396</v>
      </c>
      <c r="F133" s="326">
        <f>E133*C133*30*48</f>
        <v>6842880000</v>
      </c>
      <c r="G133" s="326">
        <v>784</v>
      </c>
      <c r="H133" s="326">
        <f>G133*C133*30*48</f>
        <v>13547520000</v>
      </c>
      <c r="I133" s="326">
        <v>409</v>
      </c>
      <c r="J133" s="326">
        <f>I133*C133*30*48</f>
        <v>7067520000</v>
      </c>
      <c r="K133" s="326">
        <v>455</v>
      </c>
      <c r="L133" s="326">
        <f>K133*C133*30*48</f>
        <v>7862400000</v>
      </c>
      <c r="M133" s="325"/>
    </row>
    <row r="134" spans="1:13" ht="15.75">
      <c r="A134" s="32">
        <v>2</v>
      </c>
      <c r="B134" s="35" t="s">
        <v>65</v>
      </c>
      <c r="C134" s="326">
        <v>100000</v>
      </c>
      <c r="D134" s="326"/>
      <c r="E134" s="326">
        <v>396</v>
      </c>
      <c r="F134" s="326">
        <f>E134*C134</f>
        <v>39600000</v>
      </c>
      <c r="G134" s="326">
        <v>784</v>
      </c>
      <c r="H134" s="326">
        <f>G134*C134</f>
        <v>78400000</v>
      </c>
      <c r="I134" s="326">
        <v>409</v>
      </c>
      <c r="J134" s="326">
        <f>I134*C134</f>
        <v>40900000</v>
      </c>
      <c r="K134" s="326">
        <v>455</v>
      </c>
      <c r="L134" s="326">
        <f>K134*C134</f>
        <v>45500000</v>
      </c>
      <c r="M134" s="325"/>
    </row>
    <row r="135" spans="1:13" ht="15.75">
      <c r="A135" s="32">
        <v>3</v>
      </c>
      <c r="B135" s="35" t="s">
        <v>66</v>
      </c>
      <c r="C135" s="326">
        <v>700000</v>
      </c>
      <c r="D135" s="326" t="s">
        <v>92</v>
      </c>
      <c r="E135" s="326">
        <v>85</v>
      </c>
      <c r="F135" s="326">
        <f>E135*C135</f>
        <v>59500000</v>
      </c>
      <c r="G135" s="326">
        <v>153</v>
      </c>
      <c r="H135" s="326">
        <f>G135*C135</f>
        <v>107100000</v>
      </c>
      <c r="I135" s="326">
        <v>80</v>
      </c>
      <c r="J135" s="326">
        <f>I135*C135</f>
        <v>56000000</v>
      </c>
      <c r="K135" s="326">
        <v>90</v>
      </c>
      <c r="L135" s="326">
        <f>K135*C135</f>
        <v>63000000</v>
      </c>
      <c r="M135" s="325"/>
    </row>
    <row r="136" spans="1:13" ht="31.5">
      <c r="A136" s="32">
        <v>4</v>
      </c>
      <c r="B136" s="35" t="s">
        <v>82</v>
      </c>
      <c r="C136" s="326">
        <v>1453</v>
      </c>
      <c r="D136" s="326" t="s">
        <v>80</v>
      </c>
      <c r="E136" s="326">
        <v>85</v>
      </c>
      <c r="F136" s="326">
        <f>E136*C136*50*12</f>
        <v>74103000</v>
      </c>
      <c r="G136" s="326">
        <v>153</v>
      </c>
      <c r="H136" s="326">
        <f>G136*C136*50*12</f>
        <v>133385400</v>
      </c>
      <c r="I136" s="326">
        <v>80</v>
      </c>
      <c r="J136" s="326">
        <f>I136*C136*50*12</f>
        <v>69744000</v>
      </c>
      <c r="K136" s="326">
        <v>90</v>
      </c>
      <c r="L136" s="326">
        <f>K136*C136*50*12</f>
        <v>78462000</v>
      </c>
      <c r="M136" s="325"/>
    </row>
    <row r="137" spans="1:13" ht="15.75">
      <c r="A137" s="32">
        <v>5</v>
      </c>
      <c r="B137" s="35" t="s">
        <v>83</v>
      </c>
      <c r="C137" s="326">
        <v>17160</v>
      </c>
      <c r="D137" s="326" t="s">
        <v>84</v>
      </c>
      <c r="E137" s="326">
        <v>85</v>
      </c>
      <c r="F137" s="326">
        <f>E137*C137*5*12</f>
        <v>87516000</v>
      </c>
      <c r="G137" s="326">
        <v>153</v>
      </c>
      <c r="H137" s="326">
        <f>G137*C137*5*12</f>
        <v>157528800</v>
      </c>
      <c r="I137" s="326">
        <v>80</v>
      </c>
      <c r="J137" s="326">
        <f>I137*C137*5*12</f>
        <v>82368000</v>
      </c>
      <c r="K137" s="326">
        <v>90</v>
      </c>
      <c r="L137" s="326">
        <f>K137*C137*5*12</f>
        <v>92664000</v>
      </c>
      <c r="M137" s="325"/>
    </row>
    <row r="138" spans="1:13" ht="15.75">
      <c r="A138" s="33" t="s">
        <v>12</v>
      </c>
      <c r="B138" s="36" t="s">
        <v>67</v>
      </c>
      <c r="C138" s="322"/>
      <c r="D138" s="322"/>
      <c r="E138" s="322"/>
      <c r="F138" s="322">
        <f>F139</f>
        <v>11400000</v>
      </c>
      <c r="G138" s="322"/>
      <c r="H138" s="322">
        <f>H139</f>
        <v>0</v>
      </c>
      <c r="I138" s="322"/>
      <c r="J138" s="322">
        <f>J139</f>
        <v>0</v>
      </c>
      <c r="K138" s="322"/>
      <c r="L138" s="322">
        <f>L139</f>
        <v>0</v>
      </c>
      <c r="M138" s="323">
        <f>SUM(F138:L138)</f>
        <v>11400000</v>
      </c>
    </row>
    <row r="139" spans="1:13" ht="15.75">
      <c r="A139" s="32">
        <v>2</v>
      </c>
      <c r="B139" s="35" t="s">
        <v>68</v>
      </c>
      <c r="C139" s="326">
        <v>15000000</v>
      </c>
      <c r="D139" s="326" t="s">
        <v>85</v>
      </c>
      <c r="E139" s="329">
        <v>0.76</v>
      </c>
      <c r="F139" s="326">
        <f>E139*C139</f>
        <v>11400000</v>
      </c>
      <c r="G139" s="326"/>
      <c r="H139" s="326"/>
      <c r="I139" s="326"/>
      <c r="J139" s="326"/>
      <c r="K139" s="326"/>
      <c r="L139" s="326"/>
      <c r="M139" s="325"/>
    </row>
    <row r="140" spans="1:13" ht="15.75">
      <c r="A140" s="33" t="s">
        <v>16</v>
      </c>
      <c r="B140" s="36" t="s">
        <v>69</v>
      </c>
      <c r="C140" s="322"/>
      <c r="D140" s="322"/>
      <c r="E140" s="322"/>
      <c r="F140" s="322">
        <f>F141+F142+F143+F144+F145</f>
        <v>11223550000</v>
      </c>
      <c r="G140" s="322"/>
      <c r="H140" s="322">
        <f>H141+H142+H143+H144+H145</f>
        <v>20748250000</v>
      </c>
      <c r="I140" s="322"/>
      <c r="J140" s="322">
        <f>J141+J142+J143+J144+J145</f>
        <v>10876825000</v>
      </c>
      <c r="K140" s="322"/>
      <c r="L140" s="322">
        <f>L141+L142+L143+L144+L145</f>
        <v>12140875000</v>
      </c>
      <c r="M140" s="323">
        <f>SUM(F140:L140)</f>
        <v>54989500000</v>
      </c>
    </row>
    <row r="141" spans="1:13" ht="31.5">
      <c r="A141" s="32">
        <v>1</v>
      </c>
      <c r="B141" s="35" t="s">
        <v>70</v>
      </c>
      <c r="C141" s="326">
        <v>1000000</v>
      </c>
      <c r="D141" s="326" t="s">
        <v>90</v>
      </c>
      <c r="E141" s="326">
        <v>85</v>
      </c>
      <c r="F141" s="326">
        <f>E141*C141</f>
        <v>85000000</v>
      </c>
      <c r="G141" s="326">
        <v>153</v>
      </c>
      <c r="H141" s="326">
        <f>G141*C141</f>
        <v>153000000</v>
      </c>
      <c r="I141" s="326">
        <v>80</v>
      </c>
      <c r="J141" s="326">
        <f>I141*C141</f>
        <v>80000000</v>
      </c>
      <c r="K141" s="326">
        <v>90</v>
      </c>
      <c r="L141" s="326">
        <f>K141*C141</f>
        <v>90000000</v>
      </c>
      <c r="M141" s="325"/>
    </row>
    <row r="142" spans="1:13" ht="31.5">
      <c r="A142" s="32">
        <v>2</v>
      </c>
      <c r="B142" s="35" t="s">
        <v>71</v>
      </c>
      <c r="C142" s="326">
        <v>5000000</v>
      </c>
      <c r="D142" s="326" t="s">
        <v>90</v>
      </c>
      <c r="E142" s="326">
        <v>85</v>
      </c>
      <c r="F142" s="326">
        <f>E142*C142</f>
        <v>425000000</v>
      </c>
      <c r="G142" s="326">
        <v>153</v>
      </c>
      <c r="H142" s="326">
        <f>G142*C142</f>
        <v>765000000</v>
      </c>
      <c r="I142" s="326">
        <v>80</v>
      </c>
      <c r="J142" s="326">
        <f>I142*C142</f>
        <v>400000000</v>
      </c>
      <c r="K142" s="326">
        <v>90</v>
      </c>
      <c r="L142" s="326">
        <f>K142*C142</f>
        <v>450000000</v>
      </c>
      <c r="M142" s="325"/>
    </row>
    <row r="143" spans="1:13" ht="15.75">
      <c r="A143" s="32">
        <v>3</v>
      </c>
      <c r="B143" s="35" t="s">
        <v>72</v>
      </c>
      <c r="C143" s="326">
        <v>2000000</v>
      </c>
      <c r="D143" s="326" t="s">
        <v>86</v>
      </c>
      <c r="E143" s="326">
        <v>213</v>
      </c>
      <c r="F143" s="326">
        <f>E143*C143</f>
        <v>426000000</v>
      </c>
      <c r="G143" s="326">
        <v>36</v>
      </c>
      <c r="H143" s="326">
        <f>G143*C143</f>
        <v>72000000</v>
      </c>
      <c r="I143" s="326">
        <v>41</v>
      </c>
      <c r="J143" s="326">
        <f>I143*C143</f>
        <v>82000000</v>
      </c>
      <c r="K143" s="326">
        <v>43</v>
      </c>
      <c r="L143" s="326">
        <f>K143*C143</f>
        <v>86000000</v>
      </c>
      <c r="M143" s="325"/>
    </row>
    <row r="144" spans="1:13" ht="15.75">
      <c r="A144" s="32">
        <v>4</v>
      </c>
      <c r="B144" s="35" t="s">
        <v>73</v>
      </c>
      <c r="C144" s="326">
        <v>5000000</v>
      </c>
      <c r="D144" s="326" t="s">
        <v>90</v>
      </c>
      <c r="E144" s="326">
        <v>85</v>
      </c>
      <c r="F144" s="326">
        <f>E144*C144</f>
        <v>425000000</v>
      </c>
      <c r="G144" s="326">
        <v>153</v>
      </c>
      <c r="H144" s="326">
        <f>G144*C144</f>
        <v>765000000</v>
      </c>
      <c r="I144" s="326">
        <v>80</v>
      </c>
      <c r="J144" s="326">
        <f>I144*C144</f>
        <v>400000000</v>
      </c>
      <c r="K144" s="326">
        <v>90</v>
      </c>
      <c r="L144" s="326">
        <f>K144*C144</f>
        <v>450000000</v>
      </c>
      <c r="M144" s="325"/>
    </row>
    <row r="145" spans="1:13" ht="31.5">
      <c r="A145" s="32">
        <v>5</v>
      </c>
      <c r="B145" s="35" t="s">
        <v>87</v>
      </c>
      <c r="C145" s="326">
        <v>3485000</v>
      </c>
      <c r="D145" s="326" t="s">
        <v>91</v>
      </c>
      <c r="E145" s="326">
        <f>15*85+5*311</f>
        <v>2830</v>
      </c>
      <c r="F145" s="326">
        <f>E145*C145</f>
        <v>9862550000</v>
      </c>
      <c r="G145" s="326">
        <f>15*153+5*(784-153)</f>
        <v>5450</v>
      </c>
      <c r="H145" s="326">
        <f>G145*C145</f>
        <v>18993250000</v>
      </c>
      <c r="I145" s="326">
        <f>15*80+5*(409-80)</f>
        <v>2845</v>
      </c>
      <c r="J145" s="326">
        <f>I145*C145</f>
        <v>9914825000</v>
      </c>
      <c r="K145" s="326">
        <f>15*90+5*(455-90)</f>
        <v>3175</v>
      </c>
      <c r="L145" s="326">
        <f>K145*C145</f>
        <v>11064875000</v>
      </c>
      <c r="M145" s="325"/>
    </row>
    <row r="146" spans="1:13" ht="15.75">
      <c r="A146" s="33" t="s">
        <v>111</v>
      </c>
      <c r="B146" s="36" t="s">
        <v>74</v>
      </c>
      <c r="C146" s="331"/>
      <c r="D146" s="331"/>
      <c r="E146" s="331"/>
      <c r="F146" s="331"/>
      <c r="G146" s="331"/>
      <c r="H146" s="331"/>
      <c r="I146" s="331"/>
      <c r="J146" s="331"/>
      <c r="K146" s="331"/>
      <c r="L146" s="331"/>
      <c r="M146" s="325"/>
    </row>
    <row r="147" spans="1:13" ht="15.75">
      <c r="A147" s="33" t="s">
        <v>3</v>
      </c>
      <c r="B147" s="36" t="s">
        <v>75</v>
      </c>
      <c r="C147" s="322"/>
      <c r="D147" s="322"/>
      <c r="E147" s="322"/>
      <c r="F147" s="322">
        <f>F148</f>
        <v>425000000</v>
      </c>
      <c r="G147" s="322"/>
      <c r="H147" s="322">
        <f>H148</f>
        <v>765000000</v>
      </c>
      <c r="I147" s="322"/>
      <c r="J147" s="322">
        <f>J148</f>
        <v>400000000</v>
      </c>
      <c r="K147" s="322"/>
      <c r="L147" s="322">
        <f>L148</f>
        <v>450000000</v>
      </c>
      <c r="M147" s="323">
        <f>SUM(F147:L147)</f>
        <v>2040000000</v>
      </c>
    </row>
    <row r="148" spans="1:13" ht="15.75">
      <c r="A148" s="32">
        <v>1</v>
      </c>
      <c r="B148" s="35" t="s">
        <v>89</v>
      </c>
      <c r="C148" s="326">
        <v>5000000</v>
      </c>
      <c r="D148" s="326" t="s">
        <v>90</v>
      </c>
      <c r="E148" s="326">
        <v>85</v>
      </c>
      <c r="F148" s="326">
        <f>E148*C148</f>
        <v>425000000</v>
      </c>
      <c r="G148" s="326">
        <v>153</v>
      </c>
      <c r="H148" s="326">
        <f>G148*C148</f>
        <v>765000000</v>
      </c>
      <c r="I148" s="326">
        <v>80</v>
      </c>
      <c r="J148" s="326">
        <f>I148*C148</f>
        <v>400000000</v>
      </c>
      <c r="K148" s="326">
        <v>90</v>
      </c>
      <c r="L148" s="326">
        <f>K148*C148</f>
        <v>450000000</v>
      </c>
      <c r="M148" s="325"/>
    </row>
    <row r="149" spans="1:13" ht="15">
      <c r="A149" s="322" t="s">
        <v>256</v>
      </c>
      <c r="B149" s="322" t="s">
        <v>252</v>
      </c>
      <c r="C149" s="322"/>
      <c r="D149" s="322"/>
      <c r="E149" s="322"/>
      <c r="F149" s="322">
        <f>(+F147+F140+F138+F132)/E148</f>
        <v>220747635.29411766</v>
      </c>
      <c r="G149" s="322"/>
      <c r="H149" s="322">
        <f>(H147+H140+H138+H132)/G148</f>
        <v>232269177.7777778</v>
      </c>
      <c r="I149" s="322"/>
      <c r="J149" s="322">
        <f>(J147+J140+J138+J132)/I148</f>
        <v>232416962.5</v>
      </c>
      <c r="K149" s="322"/>
      <c r="L149" s="322">
        <f>(L147+L140+L138+L132)/K148</f>
        <v>230365566.66666666</v>
      </c>
      <c r="M149" s="335">
        <f>M150/(85+153+80+90)</f>
        <v>229477919.60784313</v>
      </c>
    </row>
    <row r="150" spans="1:13" ht="15">
      <c r="A150" s="325"/>
      <c r="B150" s="323" t="s">
        <v>268</v>
      </c>
      <c r="C150" s="325"/>
      <c r="D150" s="325"/>
      <c r="E150" s="325"/>
      <c r="F150" s="325"/>
      <c r="G150" s="325"/>
      <c r="H150" s="325"/>
      <c r="I150" s="325"/>
      <c r="J150" s="325"/>
      <c r="K150" s="325"/>
      <c r="L150" s="325"/>
      <c r="M150" s="323">
        <f>SUM(M132:M148)</f>
        <v>93626991200</v>
      </c>
    </row>
    <row r="151" spans="1:12" ht="15">
      <c r="A151" s="380" t="s">
        <v>278</v>
      </c>
      <c r="B151" s="380"/>
      <c r="C151" s="380"/>
      <c r="D151" s="380"/>
      <c r="E151" s="380"/>
      <c r="F151" s="380"/>
      <c r="G151" s="380"/>
      <c r="H151" s="380"/>
      <c r="I151" s="380"/>
      <c r="J151" s="380"/>
      <c r="K151" s="380"/>
      <c r="L151" s="380"/>
    </row>
    <row r="152" spans="1:12" ht="15">
      <c r="A152" s="380"/>
      <c r="B152" s="380"/>
      <c r="C152" s="380"/>
      <c r="D152" s="380"/>
      <c r="E152" s="380"/>
      <c r="F152" s="380"/>
      <c r="G152" s="380"/>
      <c r="H152" s="380"/>
      <c r="I152" s="380"/>
      <c r="J152" s="380"/>
      <c r="K152" s="380"/>
      <c r="L152" s="380"/>
    </row>
    <row r="153" spans="1:13" ht="15">
      <c r="A153" s="381" t="s">
        <v>0</v>
      </c>
      <c r="B153" s="382" t="s">
        <v>46</v>
      </c>
      <c r="C153" s="322"/>
      <c r="D153" s="322"/>
      <c r="E153" s="383" t="s">
        <v>98</v>
      </c>
      <c r="F153" s="383"/>
      <c r="G153" s="383" t="s">
        <v>102</v>
      </c>
      <c r="H153" s="383"/>
      <c r="I153" s="383" t="s">
        <v>103</v>
      </c>
      <c r="J153" s="383"/>
      <c r="K153" s="383" t="s">
        <v>97</v>
      </c>
      <c r="L153" s="383"/>
      <c r="M153" s="323" t="s">
        <v>18</v>
      </c>
    </row>
    <row r="154" spans="1:13" ht="28.5">
      <c r="A154" s="381"/>
      <c r="B154" s="382"/>
      <c r="C154" s="322" t="s">
        <v>78</v>
      </c>
      <c r="D154" s="322" t="s">
        <v>22</v>
      </c>
      <c r="E154" s="322" t="s">
        <v>77</v>
      </c>
      <c r="F154" s="322" t="s">
        <v>79</v>
      </c>
      <c r="G154" s="322" t="s">
        <v>77</v>
      </c>
      <c r="H154" s="322" t="s">
        <v>79</v>
      </c>
      <c r="I154" s="322" t="s">
        <v>77</v>
      </c>
      <c r="J154" s="322" t="s">
        <v>79</v>
      </c>
      <c r="K154" s="322" t="s">
        <v>77</v>
      </c>
      <c r="L154" s="322" t="s">
        <v>79</v>
      </c>
      <c r="M154" s="325"/>
    </row>
    <row r="155" spans="1:13" ht="15.75">
      <c r="A155" s="297" t="s">
        <v>42</v>
      </c>
      <c r="B155" s="36" t="s">
        <v>63</v>
      </c>
      <c r="C155" s="322"/>
      <c r="D155" s="322"/>
      <c r="E155" s="322"/>
      <c r="F155" s="322"/>
      <c r="G155" s="322"/>
      <c r="H155" s="322"/>
      <c r="I155" s="322"/>
      <c r="J155" s="322"/>
      <c r="K155" s="322"/>
      <c r="L155" s="322"/>
      <c r="M155" s="325"/>
    </row>
    <row r="156" spans="1:13" ht="15.75">
      <c r="A156" s="297" t="s">
        <v>12</v>
      </c>
      <c r="B156" s="36" t="s">
        <v>67</v>
      </c>
      <c r="C156" s="322"/>
      <c r="D156" s="322"/>
      <c r="E156" s="322"/>
      <c r="F156" s="322">
        <f>F157</f>
        <v>1428000000</v>
      </c>
      <c r="G156" s="322"/>
      <c r="H156" s="322">
        <f>H157</f>
        <v>2570400000</v>
      </c>
      <c r="I156" s="322"/>
      <c r="J156" s="322">
        <f>J157</f>
        <v>1344000000</v>
      </c>
      <c r="K156" s="322"/>
      <c r="L156" s="322">
        <f>L157</f>
        <v>1512000000</v>
      </c>
      <c r="M156" s="323">
        <f>SUM(F156:L156)</f>
        <v>6854400000</v>
      </c>
    </row>
    <row r="157" spans="1:13" ht="15.75">
      <c r="A157" s="298">
        <v>1</v>
      </c>
      <c r="B157" s="328" t="s">
        <v>250</v>
      </c>
      <c r="C157" s="326">
        <f>5600000*3</f>
        <v>16800000</v>
      </c>
      <c r="D157" s="326" t="s">
        <v>90</v>
      </c>
      <c r="E157" s="326">
        <v>85</v>
      </c>
      <c r="F157" s="326">
        <f>C157*E157</f>
        <v>1428000000</v>
      </c>
      <c r="G157" s="326">
        <v>153</v>
      </c>
      <c r="H157" s="326">
        <f>G157*C157</f>
        <v>2570400000</v>
      </c>
      <c r="I157" s="326">
        <v>80</v>
      </c>
      <c r="J157" s="326">
        <f>I157*C157</f>
        <v>1344000000</v>
      </c>
      <c r="K157" s="326">
        <v>90</v>
      </c>
      <c r="L157" s="326">
        <f>K157*C157</f>
        <v>1512000000</v>
      </c>
      <c r="M157" s="325"/>
    </row>
    <row r="158" spans="1:13" ht="15.75">
      <c r="A158" s="297" t="s">
        <v>16</v>
      </c>
      <c r="B158" s="36" t="s">
        <v>69</v>
      </c>
      <c r="C158" s="322"/>
      <c r="D158" s="322"/>
      <c r="E158" s="322"/>
      <c r="F158" s="322">
        <f>SUM(F159:F162)</f>
        <v>1171000000</v>
      </c>
      <c r="G158" s="322"/>
      <c r="H158" s="322">
        <f>SUM(H159:H162)</f>
        <v>544500000</v>
      </c>
      <c r="I158" s="322"/>
      <c r="J158" s="322">
        <f>SUM(J159:J162)</f>
        <v>384500000</v>
      </c>
      <c r="K158" s="322"/>
      <c r="L158" s="322">
        <f>SUM(L159:L162)</f>
        <v>418500000</v>
      </c>
      <c r="M158" s="323">
        <f>SUM(F158:L158)</f>
        <v>2518500000</v>
      </c>
    </row>
    <row r="159" spans="1:13" ht="30">
      <c r="A159" s="297"/>
      <c r="B159" s="330" t="s">
        <v>243</v>
      </c>
      <c r="C159" s="322">
        <f>500000*5</f>
        <v>2500000</v>
      </c>
      <c r="D159" s="326" t="s">
        <v>251</v>
      </c>
      <c r="E159" s="322">
        <v>85</v>
      </c>
      <c r="F159" s="326">
        <f>E159*C159</f>
        <v>212500000</v>
      </c>
      <c r="G159" s="322">
        <v>153</v>
      </c>
      <c r="H159" s="326">
        <f>G159*C159</f>
        <v>382500000</v>
      </c>
      <c r="I159" s="322">
        <v>80</v>
      </c>
      <c r="J159" s="326">
        <f>I159*C159</f>
        <v>200000000</v>
      </c>
      <c r="K159" s="322">
        <v>90</v>
      </c>
      <c r="L159" s="326">
        <f>K159*C159</f>
        <v>225000000</v>
      </c>
      <c r="M159" s="325"/>
    </row>
    <row r="160" spans="1:13" ht="15.75">
      <c r="A160" s="298"/>
      <c r="B160" s="330" t="s">
        <v>244</v>
      </c>
      <c r="C160" s="326">
        <v>4500000</v>
      </c>
      <c r="D160" s="326" t="s">
        <v>86</v>
      </c>
      <c r="E160" s="326">
        <v>213</v>
      </c>
      <c r="F160" s="326">
        <f>E160*C160</f>
        <v>958500000</v>
      </c>
      <c r="G160" s="326">
        <v>36</v>
      </c>
      <c r="H160" s="326">
        <f>G160*C160</f>
        <v>162000000</v>
      </c>
      <c r="I160" s="326">
        <v>41</v>
      </c>
      <c r="J160" s="326">
        <f>I160*C160</f>
        <v>184500000</v>
      </c>
      <c r="K160" s="326">
        <v>43</v>
      </c>
      <c r="L160" s="326">
        <f>K160*C160</f>
        <v>193500000</v>
      </c>
      <c r="M160" s="325"/>
    </row>
    <row r="161" spans="1:13" ht="30">
      <c r="A161" s="298"/>
      <c r="B161" s="294" t="s">
        <v>245</v>
      </c>
      <c r="C161" s="322">
        <f>80%*C131</f>
        <v>0</v>
      </c>
      <c r="D161" s="326" t="s">
        <v>91</v>
      </c>
      <c r="E161" s="326" t="s">
        <v>246</v>
      </c>
      <c r="F161" s="326"/>
      <c r="G161" s="326"/>
      <c r="H161" s="326"/>
      <c r="I161" s="326"/>
      <c r="J161" s="326"/>
      <c r="K161" s="326"/>
      <c r="L161" s="326"/>
      <c r="M161" s="325"/>
    </row>
    <row r="162" spans="1:13" ht="30">
      <c r="A162" s="298"/>
      <c r="B162" s="328" t="s">
        <v>247</v>
      </c>
      <c r="C162" s="322">
        <v>5000000</v>
      </c>
      <c r="D162" s="326" t="s">
        <v>90</v>
      </c>
      <c r="E162" s="326" t="s">
        <v>246</v>
      </c>
      <c r="F162" s="326"/>
      <c r="G162" s="326"/>
      <c r="H162" s="326"/>
      <c r="I162" s="326"/>
      <c r="J162" s="326"/>
      <c r="K162" s="326"/>
      <c r="L162" s="326"/>
      <c r="M162" s="325"/>
    </row>
    <row r="163" spans="1:13" ht="15.75">
      <c r="A163" s="297" t="s">
        <v>111</v>
      </c>
      <c r="B163" s="36" t="s">
        <v>74</v>
      </c>
      <c r="C163" s="331"/>
      <c r="D163" s="331"/>
      <c r="E163" s="331"/>
      <c r="F163" s="331"/>
      <c r="G163" s="331"/>
      <c r="H163" s="331"/>
      <c r="I163" s="331"/>
      <c r="J163" s="331"/>
      <c r="K163" s="331"/>
      <c r="L163" s="331"/>
      <c r="M163" s="325"/>
    </row>
    <row r="164" spans="1:13" ht="15.75">
      <c r="A164" s="297" t="s">
        <v>12</v>
      </c>
      <c r="B164" s="36" t="s">
        <v>88</v>
      </c>
      <c r="C164" s="322"/>
      <c r="D164" s="322"/>
      <c r="E164" s="322"/>
      <c r="F164" s="322">
        <f>F165</f>
        <v>850000000</v>
      </c>
      <c r="G164" s="322"/>
      <c r="H164" s="322">
        <f>H165</f>
        <v>1530000000</v>
      </c>
      <c r="I164" s="322"/>
      <c r="J164" s="322">
        <f>J165</f>
        <v>800000000</v>
      </c>
      <c r="K164" s="322"/>
      <c r="L164" s="322">
        <f>L165</f>
        <v>900000000</v>
      </c>
      <c r="M164" s="323">
        <f>SUM(F164:L164)</f>
        <v>4080000000</v>
      </c>
    </row>
    <row r="165" spans="1:13" ht="15.75">
      <c r="A165" s="298">
        <v>1</v>
      </c>
      <c r="B165" s="330" t="s">
        <v>248</v>
      </c>
      <c r="C165" s="326">
        <v>10000000</v>
      </c>
      <c r="D165" s="326" t="s">
        <v>90</v>
      </c>
      <c r="E165" s="326">
        <v>85</v>
      </c>
      <c r="F165" s="326">
        <f>E165*C165</f>
        <v>850000000</v>
      </c>
      <c r="G165" s="326">
        <v>153</v>
      </c>
      <c r="H165" s="326">
        <f>G165*C165</f>
        <v>1530000000</v>
      </c>
      <c r="I165" s="326">
        <v>80</v>
      </c>
      <c r="J165" s="326">
        <f>I165*C165</f>
        <v>800000000</v>
      </c>
      <c r="K165" s="326">
        <v>90</v>
      </c>
      <c r="L165" s="326">
        <f>K165*C165</f>
        <v>900000000</v>
      </c>
      <c r="M165" s="325"/>
    </row>
    <row r="166" spans="1:13" ht="15.75">
      <c r="A166" s="297" t="s">
        <v>16</v>
      </c>
      <c r="B166" s="36" t="s">
        <v>76</v>
      </c>
      <c r="C166" s="322"/>
      <c r="D166" s="322"/>
      <c r="E166" s="322"/>
      <c r="F166" s="322">
        <f>F167</f>
        <v>1275000000</v>
      </c>
      <c r="G166" s="322"/>
      <c r="H166" s="322">
        <f>H167</f>
        <v>1530000000</v>
      </c>
      <c r="I166" s="322"/>
      <c r="J166" s="322">
        <f>J167</f>
        <v>4400000000</v>
      </c>
      <c r="K166" s="322"/>
      <c r="L166" s="322">
        <f>L167</f>
        <v>4950000000</v>
      </c>
      <c r="M166" s="323">
        <f>SUM(F166:L166)</f>
        <v>12155000000</v>
      </c>
    </row>
    <row r="167" spans="1:13" ht="15.75">
      <c r="A167" s="333">
        <v>1</v>
      </c>
      <c r="B167" s="330" t="s">
        <v>249</v>
      </c>
      <c r="C167" s="326">
        <v>10000000</v>
      </c>
      <c r="D167" s="326" t="s">
        <v>85</v>
      </c>
      <c r="E167" s="332">
        <v>127.5</v>
      </c>
      <c r="F167" s="326">
        <f>E167*C167</f>
        <v>1275000000</v>
      </c>
      <c r="G167" s="326">
        <v>153</v>
      </c>
      <c r="H167" s="326">
        <f>G167*C167</f>
        <v>1530000000</v>
      </c>
      <c r="I167" s="326">
        <v>440</v>
      </c>
      <c r="J167" s="326">
        <f>I167*C167</f>
        <v>4400000000</v>
      </c>
      <c r="K167" s="326">
        <v>495</v>
      </c>
      <c r="L167" s="326">
        <f>K167*C167</f>
        <v>4950000000</v>
      </c>
      <c r="M167" s="325"/>
    </row>
    <row r="168" spans="1:13" ht="15">
      <c r="A168" s="334" t="s">
        <v>256</v>
      </c>
      <c r="B168" s="322" t="s">
        <v>252</v>
      </c>
      <c r="C168" s="322"/>
      <c r="D168" s="322"/>
      <c r="E168" s="322"/>
      <c r="F168" s="322">
        <f>(F166+F164+F158+F156)/E165</f>
        <v>55576470.5882353</v>
      </c>
      <c r="G168" s="322"/>
      <c r="H168" s="322">
        <f>(H166+H164+H158+H156)/G165</f>
        <v>40358823.52941176</v>
      </c>
      <c r="I168" s="322"/>
      <c r="J168" s="322">
        <f>(J166+J164+J158+J156)/I165</f>
        <v>86606250</v>
      </c>
      <c r="K168" s="322"/>
      <c r="L168" s="322">
        <f>(L166+L164+L158+L156)/K165</f>
        <v>86450000</v>
      </c>
      <c r="M168" s="335">
        <f>M169/(85+153+80+90)</f>
        <v>62764460.78431372</v>
      </c>
    </row>
    <row r="169" spans="1:13" ht="15">
      <c r="A169" s="320"/>
      <c r="B169" s="323" t="s">
        <v>268</v>
      </c>
      <c r="C169" s="325"/>
      <c r="D169" s="325"/>
      <c r="E169" s="325"/>
      <c r="F169" s="325"/>
      <c r="G169" s="325"/>
      <c r="H169" s="325"/>
      <c r="I169" s="325"/>
      <c r="J169" s="325"/>
      <c r="K169" s="325"/>
      <c r="L169" s="325"/>
      <c r="M169" s="323">
        <f>SUM(M156:M167)</f>
        <v>25607900000</v>
      </c>
    </row>
  </sheetData>
  <sheetProtection/>
  <mergeCells count="36">
    <mergeCell ref="A94:L95"/>
    <mergeCell ref="K63:L63"/>
    <mergeCell ref="A61:L62"/>
    <mergeCell ref="A63:A64"/>
    <mergeCell ref="B63:B64"/>
    <mergeCell ref="E63:F63"/>
    <mergeCell ref="G63:H63"/>
    <mergeCell ref="I63:J63"/>
    <mergeCell ref="A1:L2"/>
    <mergeCell ref="A3:A4"/>
    <mergeCell ref="B3:B4"/>
    <mergeCell ref="E3:F3"/>
    <mergeCell ref="G3:H3"/>
    <mergeCell ref="I3:J3"/>
    <mergeCell ref="K3:L3"/>
    <mergeCell ref="A96:A97"/>
    <mergeCell ref="B129:B130"/>
    <mergeCell ref="E129:F129"/>
    <mergeCell ref="G129:H129"/>
    <mergeCell ref="B96:B97"/>
    <mergeCell ref="E96:F96"/>
    <mergeCell ref="I129:J129"/>
    <mergeCell ref="G96:H96"/>
    <mergeCell ref="I96:J96"/>
    <mergeCell ref="K129:L129"/>
    <mergeCell ref="K96:L96"/>
    <mergeCell ref="M3:M4"/>
    <mergeCell ref="A151:L152"/>
    <mergeCell ref="A153:A154"/>
    <mergeCell ref="B153:B154"/>
    <mergeCell ref="E153:F153"/>
    <mergeCell ref="G153:H153"/>
    <mergeCell ref="I153:J153"/>
    <mergeCell ref="K153:L153"/>
    <mergeCell ref="A127:L128"/>
    <mergeCell ref="A129:A130"/>
  </mergeCells>
  <printOptions horizontalCentered="1"/>
  <pageMargins left="0.25" right="0.25" top="1.25" bottom="0.75" header="0.25" footer="0.2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XP-PRO-2011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Huu</cp:lastModifiedBy>
  <cp:lastPrinted>2015-11-04T06:15:03Z</cp:lastPrinted>
  <dcterms:created xsi:type="dcterms:W3CDTF">2015-07-28T05:50:38Z</dcterms:created>
  <dcterms:modified xsi:type="dcterms:W3CDTF">2015-11-12T03:04:25Z</dcterms:modified>
  <cp:category/>
  <cp:version/>
  <cp:contentType/>
  <cp:contentStatus/>
</cp:coreProperties>
</file>